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0" windowWidth="6120" windowHeight="7410" activeTab="0"/>
  </bookViews>
  <sheets>
    <sheet name="Input" sheetId="1" r:id="rId1"/>
    <sheet name="Calculator" sheetId="2" r:id="rId2"/>
    <sheet name="Plotter" sheetId="3" r:id="rId3"/>
    <sheet name="Change" sheetId="4" r:id="rId4"/>
    <sheet name="Tech" sheetId="5" state="hidden" r:id="rId5"/>
  </sheets>
  <definedNames>
    <definedName name="B">'Input'!$C$16:$C$65</definedName>
    <definedName name="b1c">'Tech'!$I$7</definedName>
    <definedName name="b2c">'Tech'!$I$8</definedName>
    <definedName name="b3c">'Tech'!$I$9</definedName>
    <definedName name="b4c">'Tech'!$I$10</definedName>
    <definedName name="b5c">'Tech'!$I$11</definedName>
    <definedName name="b6c">'Tech'!$I$12</definedName>
    <definedName name="Bval">'Input'!$K$16:$K$65</definedName>
    <definedName name="bvc1">'Tech'!$C$8</definedName>
    <definedName name="bvc2">'Tech'!$C$9</definedName>
    <definedName name="bvc3">'Tech'!$C$10</definedName>
    <definedName name="bvcr1">'Tech'!$L$7</definedName>
    <definedName name="bvcr2">'Tech'!$L$8</definedName>
    <definedName name="bvcr3">'Tech'!$L$9</definedName>
    <definedName name="bvcr4">'Tech'!$L$10</definedName>
    <definedName name="bvcr5">'Tech'!$L$11</definedName>
    <definedName name="bvcr6">'Tech'!$L$12</definedName>
    <definedName name="BVtoP">'Tech'!$I$5</definedName>
    <definedName name="BVvc1">'Tech'!$C$12</definedName>
    <definedName name="BVvc2">'Tech'!$C$13</definedName>
    <definedName name="BVvc3">'Tech'!$C$14</definedName>
    <definedName name="ChV">'Calculator'!$E$24:$E$38</definedName>
    <definedName name="Con">'Input'!$C$15</definedName>
    <definedName name="cr1th">'Tech'!$F$7</definedName>
    <definedName name="cr2th">'Tech'!$F$8</definedName>
    <definedName name="cr3th">'Tech'!$F$9</definedName>
    <definedName name="cr4th">'Tech'!$F$10</definedName>
    <definedName name="cr5th">'Tech'!$F$11</definedName>
    <definedName name="cr6th">'Tech'!$F$12</definedName>
    <definedName name="CrV1">'Plotter'!$D$16</definedName>
    <definedName name="CrV2">'Plotter'!$D$17</definedName>
    <definedName name="CrV3">'Plotter'!$D$18</definedName>
    <definedName name="CrV4">'Plotter'!$D$19</definedName>
    <definedName name="CrV5">'Plotter'!$D$20</definedName>
    <definedName name="CrV6">'Plotter'!$D$21</definedName>
    <definedName name="cv1th">'Plotter'!$C$16</definedName>
    <definedName name="cv2th">'Plotter'!$C$17</definedName>
    <definedName name="cv3th">'Plotter'!$C$18</definedName>
    <definedName name="cv4th">'Plotter'!$C$19</definedName>
    <definedName name="cv5th">'Plotter'!$C$20</definedName>
    <definedName name="cv6th">'Plotter'!$C$21</definedName>
    <definedName name="Dis">'Tech'!$F$5</definedName>
    <definedName name="EndV">'Plotter'!$D$9</definedName>
    <definedName name="Max">'Input'!$H$16:$H$65</definedName>
    <definedName name="Min">'Input'!$G$16:$G$65</definedName>
    <definedName name="Mn">'Input'!$E$16:$E$65</definedName>
    <definedName name="NmP">'Plotter'!$D$10</definedName>
    <definedName name="PbV">'Tech'!$I$4</definedName>
    <definedName name="RHV">'Input'!$B$16:$B$65</definedName>
    <definedName name="Sbase">'Tech'!$C$16</definedName>
    <definedName name="Sd">'Input'!$F$16:$F$65</definedName>
    <definedName name="Smax">'Tech'!$C$19</definedName>
    <definedName name="Smin">'Tech'!$C$18</definedName>
    <definedName name="Smn">'Tech'!$C$17</definedName>
    <definedName name="StartV">'Plotter'!$D$8</definedName>
    <definedName name="SumC">'Tech'!$B$24:$B$38</definedName>
    <definedName name="vc1">'Tech'!$C$4</definedName>
    <definedName name="vc2">'Tech'!$C$5</definedName>
    <definedName name="vc3">'Tech'!$C$6</definedName>
    <definedName name="VPth">'Tech'!$F$4</definedName>
    <definedName name="Vtoc1">'Calculator'!$D$26</definedName>
    <definedName name="Vtoc2">'Calculator'!$D$31</definedName>
    <definedName name="Vtoc3">'Calculator'!$D$36</definedName>
    <definedName name="VtoP">'Plotter'!$D$7</definedName>
    <definedName name="Vtype">'Input'!$I$16:$I$65</definedName>
    <definedName name="Z">'Input'!$D$16:$D$65</definedName>
  </definedNames>
  <calcPr fullCalcOnLoad="1"/>
</workbook>
</file>

<file path=xl/comments1.xml><?xml version="1.0" encoding="utf-8"?>
<comments xmlns="http://schemas.openxmlformats.org/spreadsheetml/2006/main">
  <authors>
    <author>Simon Cheng</author>
  </authors>
  <commentList>
    <comment ref="J13" authorId="0">
      <text>
        <r>
          <rPr>
            <sz val="9"/>
            <rFont val="Tahoma"/>
            <family val="2"/>
          </rPr>
          <t xml:space="preserve">To specify the base values, enter  (case insensitive):
   # = any number (e.g., 1.2)
   m = mean
   min = minimum
   max = maximum
 </t>
        </r>
      </text>
    </comment>
    <comment ref="I13" authorId="0">
      <text>
        <r>
          <rPr>
            <sz val="10"/>
            <rFont val="Tahoma"/>
            <family val="2"/>
          </rPr>
          <t xml:space="preserve">C = Continuous
B = Binary
(Case Insensitive) </t>
        </r>
      </text>
    </comment>
  </commentList>
</comments>
</file>

<file path=xl/sharedStrings.xml><?xml version="1.0" encoding="utf-8"?>
<sst xmlns="http://schemas.openxmlformats.org/spreadsheetml/2006/main" count="217" uniqueCount="155">
  <si>
    <t>Std</t>
  </si>
  <si>
    <t>Logit</t>
  </si>
  <si>
    <t>Variable</t>
  </si>
  <si>
    <t>Mean</t>
  </si>
  <si>
    <t>Dev</t>
  </si>
  <si>
    <t>Coefs</t>
  </si>
  <si>
    <t>z-value</t>
  </si>
  <si>
    <t>Base</t>
  </si>
  <si>
    <t>Type</t>
  </si>
  <si>
    <t>Minimum</t>
  </si>
  <si>
    <t>Maximum</t>
  </si>
  <si>
    <t>Name</t>
  </si>
  <si>
    <t>Do Not Insert or Remove Rows</t>
  </si>
  <si>
    <t>Min</t>
  </si>
  <si>
    <t>Max</t>
  </si>
  <si>
    <t>Values</t>
  </si>
  <si>
    <t>Calculator</t>
  </si>
  <si>
    <t>Plotter</t>
  </si>
  <si>
    <t>Dis</t>
  </si>
  <si>
    <t>Value</t>
  </si>
  <si>
    <t>Change</t>
  </si>
  <si>
    <t>0--&gt;1</t>
  </si>
  <si>
    <t>Marginal</t>
  </si>
  <si>
    <t>D s</t>
  </si>
  <si>
    <t>---</t>
  </si>
  <si>
    <t xml:space="preserve">    1.  Enter all of your information in the light green cells, such as this: </t>
  </si>
  <si>
    <t>Notes</t>
  </si>
  <si>
    <t>1.</t>
  </si>
  <si>
    <t>2.</t>
  </si>
  <si>
    <t>3.</t>
  </si>
  <si>
    <t>Table 2.  Base Values</t>
  </si>
  <si>
    <t xml:space="preserve">   With other variable at the base, vary this variable.</t>
  </si>
  <si>
    <t xml:space="preserve">   Enter the start value for the x-axis.</t>
  </si>
  <si>
    <t xml:space="preserve">   Enter end value for the x-axis.</t>
  </si>
  <si>
    <t xml:space="preserve">   2 to 20 points allowed</t>
  </si>
  <si>
    <t>x-value</t>
  </si>
  <si>
    <t>Discrete Change</t>
  </si>
  <si>
    <t>Sbase</t>
  </si>
  <si>
    <t>Smin</t>
  </si>
  <si>
    <t>Smax</t>
  </si>
  <si>
    <t>VPth</t>
  </si>
  <si>
    <t>BVtoP</t>
  </si>
  <si>
    <t>LFP</t>
  </si>
  <si>
    <t>Constant</t>
  </si>
  <si>
    <t>Age</t>
  </si>
  <si>
    <t>WC</t>
  </si>
  <si>
    <t>HC</t>
  </si>
  <si>
    <t>Lwg</t>
  </si>
  <si>
    <t>Inc</t>
  </si>
  <si>
    <t>B</t>
  </si>
  <si>
    <t>Z</t>
  </si>
  <si>
    <t>C</t>
  </si>
  <si>
    <t>M</t>
  </si>
  <si>
    <t>Table 1.  Predicted Probability</t>
  </si>
  <si>
    <t>vary the following variables and calculate</t>
  </si>
  <si>
    <t>the predicted probabilities.</t>
  </si>
  <si>
    <t>k5</t>
  </si>
  <si>
    <t xml:space="preserve">   With other variables held at the base values, </t>
  </si>
  <si>
    <t>Factor</t>
  </si>
  <si>
    <t>Coef.</t>
  </si>
  <si>
    <t>Std Factor</t>
  </si>
  <si>
    <t>Table 1.  Factor Change</t>
  </si>
  <si>
    <t>Table 2.  Discrete Change</t>
  </si>
  <si>
    <t>Table 3.  Base Values</t>
  </si>
  <si>
    <t>Curve 1</t>
  </si>
  <si>
    <t>Curve 2</t>
  </si>
  <si>
    <t>Curve 3</t>
  </si>
  <si>
    <t>Curve 4</t>
  </si>
  <si>
    <t>Curve 5</t>
  </si>
  <si>
    <t>Curve 6</t>
  </si>
  <si>
    <t>Curve #</t>
  </si>
  <si>
    <t>Fixed at:</t>
  </si>
  <si>
    <t>Curve</t>
  </si>
  <si>
    <t>Label</t>
  </si>
  <si>
    <t>Age 30</t>
  </si>
  <si>
    <t>Age 40</t>
  </si>
  <si>
    <t>Age 50</t>
  </si>
  <si>
    <t>Age 60</t>
  </si>
  <si>
    <t>Figure 1.  Predicted Probability</t>
  </si>
  <si>
    <t>Centered</t>
  </si>
  <si>
    <t>vc1</t>
  </si>
  <si>
    <t>vc2</t>
  </si>
  <si>
    <t>vc3</t>
  </si>
  <si>
    <t>bvc1</t>
  </si>
  <si>
    <t>bvc2</t>
  </si>
  <si>
    <t>bvc3</t>
  </si>
  <si>
    <t>BVvc1</t>
  </si>
  <si>
    <t>BVvc2</t>
  </si>
  <si>
    <t>BVvc3</t>
  </si>
  <si>
    <t>Smn</t>
  </si>
  <si>
    <t>age</t>
  </si>
  <si>
    <t>SumC</t>
  </si>
  <si>
    <t>wc</t>
  </si>
  <si>
    <t>PbV</t>
  </si>
  <si>
    <t>cr2th</t>
  </si>
  <si>
    <t>cr3th</t>
  </si>
  <si>
    <t>cr4th</t>
  </si>
  <si>
    <t>cr5th</t>
  </si>
  <si>
    <t>cr6th</t>
  </si>
  <si>
    <t>cr1th</t>
  </si>
  <si>
    <t>bvcr1</t>
  </si>
  <si>
    <t>bvcr2</t>
  </si>
  <si>
    <t>bvcr3</t>
  </si>
  <si>
    <t>bvcr4</t>
  </si>
  <si>
    <t>bvcr5</t>
  </si>
  <si>
    <t>bvcr6</t>
  </si>
  <si>
    <t>b1c</t>
  </si>
  <si>
    <t>b2c</t>
  </si>
  <si>
    <t>b3c</t>
  </si>
  <si>
    <t>b4c</t>
  </si>
  <si>
    <t>b5c</t>
  </si>
  <si>
    <t>b6c</t>
  </si>
  <si>
    <t>x-val</t>
  </si>
  <si>
    <t>0--1</t>
  </si>
  <si>
    <t>min--max</t>
  </si>
  <si>
    <t>mn-1/2</t>
  </si>
  <si>
    <t>mn+1/2</t>
  </si>
  <si>
    <t>+/- 1/2</t>
  </si>
  <si>
    <t>mn-1/2sd</t>
  </si>
  <si>
    <t>mn+1/2sd</t>
  </si>
  <si>
    <t>+/- 1/2sd</t>
  </si>
  <si>
    <r>
      <t>D</t>
    </r>
    <r>
      <rPr>
        <i/>
        <sz val="10"/>
        <rFont val="Arial"/>
        <family val="0"/>
      </rPr>
      <t>Range</t>
    </r>
  </si>
  <si>
    <r>
      <t>D</t>
    </r>
    <r>
      <rPr>
        <i/>
        <sz val="10"/>
        <rFont val="Arial"/>
        <family val="0"/>
      </rPr>
      <t>1</t>
    </r>
  </si>
  <si>
    <r>
      <t xml:space="preserve">Table 1.  Descriptive Statistics for Y - </t>
    </r>
    <r>
      <rPr>
        <i/>
        <sz val="10"/>
        <rFont val="Arial"/>
        <family val="2"/>
      </rPr>
      <t>optional</t>
    </r>
    <r>
      <rPr>
        <b/>
        <sz val="10"/>
        <rFont val="Arial"/>
        <family val="2"/>
      </rPr>
      <t xml:space="preserve"> -</t>
    </r>
  </si>
  <si>
    <t>Table 2.  Estimates, Descriptive Statistics, Variable Types, and Base Values</t>
  </si>
  <si>
    <t>computed at these values with other values equal to the base values in Table 2.</t>
  </si>
  <si>
    <t xml:space="preserve">Enter all of your information in the light green cells, such as this: </t>
  </si>
  <si>
    <t>Predicted probabilities are given for base values shown in Table 2.  Note base values can only be changed in the Input sheet.</t>
  </si>
  <si>
    <t>In the green cells you can choose three variables and specify up to five values for that variable.  Predicted probabilities are</t>
  </si>
  <si>
    <t>Do not add or delete any rows or columns.</t>
  </si>
  <si>
    <t xml:space="preserve">     1.</t>
  </si>
  <si>
    <t>This page computes factor change and discrete change using the base values specified on the Input sheet; these values</t>
  </si>
  <si>
    <t>are shown on Table 3 below, but can only be changed on the Input sheet.  There is nothing you can change on this page.</t>
  </si>
  <si>
    <t xml:space="preserve">     2.</t>
  </si>
  <si>
    <t>Binary Logit</t>
  </si>
  <si>
    <t>Probabilities</t>
  </si>
  <si>
    <t xml:space="preserve">   Basic</t>
  </si>
  <si>
    <t xml:space="preserve">                       Held at</t>
  </si>
  <si>
    <t xml:space="preserve">             All Variables</t>
  </si>
  <si>
    <r>
      <t xml:space="preserve">.  </t>
    </r>
  </si>
  <si>
    <r>
      <t xml:space="preserve">    2.  Press  &lt;</t>
    </r>
    <r>
      <rPr>
        <b/>
        <i/>
        <sz val="10"/>
        <color indexed="8"/>
        <rFont val="Arial"/>
        <family val="2"/>
      </rPr>
      <t>Ctrl+Shift+p</t>
    </r>
    <r>
      <rPr>
        <sz val="10"/>
        <color indexed="8"/>
        <rFont val="Arial"/>
        <family val="2"/>
      </rPr>
      <t>&gt; to see the XPost pull-down menu (</t>
    </r>
    <r>
      <rPr>
        <i/>
        <sz val="10"/>
        <color indexed="8"/>
        <rFont val="Arial"/>
        <family val="2"/>
      </rPr>
      <t>Optional</t>
    </r>
    <r>
      <rPr>
        <sz val="10"/>
        <color indexed="8"/>
        <rFont val="Arial"/>
        <family val="2"/>
      </rPr>
      <t>).</t>
    </r>
  </si>
  <si>
    <t>.</t>
  </si>
  <si>
    <t xml:space="preserve">    2.  Enter information in Tables 1 and 2 about your graph. Note you can edit the graph as with any Excel chart.</t>
  </si>
  <si>
    <t>Table 1. Specification of x-variable.</t>
  </si>
  <si>
    <t>Table 2. Specification of control variable.</t>
  </si>
  <si>
    <t>drop</t>
  </si>
  <si>
    <t>Variables</t>
  </si>
  <si>
    <t xml:space="preserve">    3.  For statistical interpretations of logit regression, see Long (1996: 37-49).</t>
  </si>
  <si>
    <t>Table 4.  Sources of Plot</t>
  </si>
  <si>
    <t xml:space="preserve">  X-variable to vary</t>
  </si>
  <si>
    <t xml:space="preserve">  Start Value </t>
  </si>
  <si>
    <t xml:space="preserve">  End Value</t>
  </si>
  <si>
    <t xml:space="preserve">  # of Points</t>
  </si>
  <si>
    <t>K5</t>
  </si>
  <si>
    <t>K618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</si>
</sst>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"/>
    <numFmt numFmtId="168" formatCode="0.0"/>
  </numFmts>
  <fonts count="33">
    <font>
      <sz val="10"/>
      <name val="Arial"/>
      <family val="0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8"/>
      <color indexed="18"/>
      <name val="Arial"/>
      <family val="2"/>
    </font>
    <font>
      <b/>
      <i/>
      <sz val="9"/>
      <color indexed="63"/>
      <name val="Arial"/>
      <family val="2"/>
    </font>
    <font>
      <i/>
      <sz val="9"/>
      <name val="Arial"/>
      <family val="2"/>
    </font>
    <font>
      <u val="single"/>
      <sz val="8"/>
      <name val="Arial"/>
      <family val="2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sz val="10"/>
      <color indexed="10"/>
      <name val="Arial"/>
      <family val="2"/>
    </font>
    <font>
      <i/>
      <sz val="9"/>
      <color indexed="10"/>
      <name val="Arial"/>
      <family val="2"/>
    </font>
    <font>
      <b/>
      <i/>
      <sz val="14"/>
      <name val="Arial"/>
      <family val="2"/>
    </font>
    <font>
      <b/>
      <sz val="10"/>
      <color indexed="10"/>
      <name val="Arial"/>
      <family val="2"/>
    </font>
    <font>
      <i/>
      <u val="single"/>
      <sz val="10"/>
      <name val="Arial"/>
      <family val="2"/>
    </font>
    <font>
      <i/>
      <sz val="10"/>
      <name val="Symbol"/>
      <family val="1"/>
    </font>
    <font>
      <sz val="10"/>
      <color indexed="9"/>
      <name val="Arial"/>
      <family val="2"/>
    </font>
    <font>
      <sz val="8"/>
      <color indexed="19"/>
      <name val="Arial"/>
      <family val="2"/>
    </font>
    <font>
      <sz val="9"/>
      <color indexed="9"/>
      <name val="Arial"/>
      <family val="2"/>
    </font>
    <font>
      <b/>
      <i/>
      <sz val="10"/>
      <name val="Arial"/>
      <family val="2"/>
    </font>
    <font>
      <sz val="9"/>
      <color indexed="12"/>
      <name val="Arial"/>
      <family val="2"/>
    </font>
    <font>
      <sz val="10"/>
      <name val="Tahoma"/>
      <family val="2"/>
    </font>
    <font>
      <sz val="9"/>
      <name val="Tahom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.75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2" fontId="6" fillId="0" borderId="0" xfId="0" applyNumberFormat="1" applyFont="1" applyBorder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2" fontId="6" fillId="0" borderId="1" xfId="0" applyNumberFormat="1" applyFont="1" applyBorder="1" applyAlignment="1">
      <alignment/>
    </xf>
    <xf numFmtId="0" fontId="1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left"/>
    </xf>
    <xf numFmtId="0" fontId="2" fillId="2" borderId="0" xfId="0" applyFont="1" applyFill="1" applyAlignment="1" applyProtection="1">
      <alignment horizontal="right"/>
      <protection locked="0"/>
    </xf>
    <xf numFmtId="2" fontId="2" fillId="2" borderId="0" xfId="0" applyNumberFormat="1" applyFont="1" applyFill="1" applyBorder="1" applyAlignment="1" applyProtection="1">
      <alignment horizontal="right"/>
      <protection locked="0"/>
    </xf>
    <xf numFmtId="166" fontId="2" fillId="2" borderId="0" xfId="0" applyNumberFormat="1" applyFont="1" applyFill="1" applyBorder="1" applyAlignment="1" applyProtection="1">
      <alignment horizontal="right"/>
      <protection locked="0"/>
    </xf>
    <xf numFmtId="2" fontId="2" fillId="2" borderId="0" xfId="0" applyNumberFormat="1" applyFont="1" applyFill="1" applyBorder="1" applyAlignment="1" applyProtection="1">
      <alignment/>
      <protection locked="0"/>
    </xf>
    <xf numFmtId="166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2" fontId="6" fillId="0" borderId="0" xfId="0" applyNumberFormat="1" applyFont="1" applyBorder="1" applyAlignment="1">
      <alignment horizontal="right"/>
    </xf>
    <xf numFmtId="2" fontId="6" fillId="0" borderId="2" xfId="0" applyNumberFormat="1" applyFont="1" applyBorder="1" applyAlignment="1">
      <alignment/>
    </xf>
    <xf numFmtId="2" fontId="6" fillId="0" borderId="1" xfId="0" applyNumberFormat="1" applyFont="1" applyBorder="1" applyAlignment="1" quotePrefix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 quotePrefix="1">
      <alignment/>
      <protection locked="0"/>
    </xf>
    <xf numFmtId="166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17" fillId="0" borderId="1" xfId="0" applyFont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3" fillId="3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0" fillId="3" borderId="0" xfId="0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3" fillId="0" borderId="11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1" xfId="0" applyFont="1" applyBorder="1" applyAlignment="1" applyProtection="1">
      <alignment horizontal="right"/>
      <protection/>
    </xf>
    <xf numFmtId="0" fontId="25" fillId="0" borderId="0" xfId="0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/>
    </xf>
    <xf numFmtId="0" fontId="14" fillId="0" borderId="0" xfId="0" applyFont="1" applyFill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2" borderId="0" xfId="0" applyFont="1" applyFill="1" applyBorder="1" applyAlignment="1" applyProtection="1">
      <alignment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0" fillId="0" borderId="0" xfId="0" applyFont="1" applyBorder="1" applyAlignment="1" applyProtection="1" quotePrefix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right"/>
      <protection/>
    </xf>
    <xf numFmtId="0" fontId="5" fillId="0" borderId="20" xfId="0" applyFont="1" applyBorder="1" applyAlignment="1" applyProtection="1">
      <alignment horizontal="right"/>
      <protection/>
    </xf>
    <xf numFmtId="0" fontId="6" fillId="0" borderId="21" xfId="0" applyFont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3" xfId="0" applyFont="1" applyBorder="1" applyAlignment="1" applyProtection="1">
      <alignment horizontal="right"/>
      <protection/>
    </xf>
    <xf numFmtId="166" fontId="0" fillId="0" borderId="22" xfId="0" applyNumberFormat="1" applyFont="1" applyBorder="1" applyAlignment="1" applyProtection="1">
      <alignment/>
      <protection/>
    </xf>
    <xf numFmtId="166" fontId="5" fillId="0" borderId="19" xfId="0" applyNumberFormat="1" applyFont="1" applyBorder="1" applyAlignment="1" applyProtection="1">
      <alignment/>
      <protection/>
    </xf>
    <xf numFmtId="0" fontId="0" fillId="0" borderId="24" xfId="0" applyFont="1" applyBorder="1" applyAlignment="1" applyProtection="1">
      <alignment horizontal="right"/>
      <protection/>
    </xf>
    <xf numFmtId="166" fontId="0" fillId="0" borderId="25" xfId="0" applyNumberFormat="1" applyFont="1" applyBorder="1" applyAlignment="1" applyProtection="1">
      <alignment/>
      <protection/>
    </xf>
    <xf numFmtId="166" fontId="5" fillId="0" borderId="2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6" fontId="0" fillId="0" borderId="0" xfId="0" applyNumberFormat="1" applyFont="1" applyBorder="1" applyAlignment="1" applyProtection="1">
      <alignment horizontal="center"/>
      <protection/>
    </xf>
    <xf numFmtId="166" fontId="6" fillId="0" borderId="19" xfId="0" applyNumberFormat="1" applyFont="1" applyBorder="1" applyAlignment="1" applyProtection="1">
      <alignment horizontal="center"/>
      <protection/>
    </xf>
    <xf numFmtId="166" fontId="0" fillId="0" borderId="0" xfId="0" applyNumberFormat="1" applyFont="1" applyBorder="1" applyAlignment="1" applyProtection="1">
      <alignment/>
      <protection/>
    </xf>
    <xf numFmtId="0" fontId="11" fillId="0" borderId="13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66" fontId="0" fillId="0" borderId="1" xfId="0" applyNumberFormat="1" applyFont="1" applyBorder="1" applyAlignment="1" applyProtection="1">
      <alignment horizontal="right"/>
      <protection/>
    </xf>
    <xf numFmtId="166" fontId="0" fillId="0" borderId="4" xfId="0" applyNumberFormat="1" applyFont="1" applyBorder="1" applyAlignment="1" applyProtection="1">
      <alignment horizontal="right"/>
      <protection/>
    </xf>
    <xf numFmtId="166" fontId="5" fillId="0" borderId="19" xfId="0" applyNumberFormat="1" applyFont="1" applyBorder="1" applyAlignment="1" applyProtection="1">
      <alignment horizontal="center"/>
      <protection/>
    </xf>
    <xf numFmtId="166" fontId="5" fillId="0" borderId="26" xfId="0" applyNumberFormat="1" applyFont="1" applyBorder="1" applyAlignment="1" applyProtection="1">
      <alignment horizontal="center"/>
      <protection/>
    </xf>
    <xf numFmtId="166" fontId="0" fillId="0" borderId="7" xfId="0" applyNumberFormat="1" applyFont="1" applyBorder="1" applyAlignment="1" applyProtection="1">
      <alignment horizontal="right"/>
      <protection/>
    </xf>
    <xf numFmtId="166" fontId="0" fillId="0" borderId="9" xfId="0" applyNumberFormat="1" applyFont="1" applyBorder="1" applyAlignment="1" applyProtection="1">
      <alignment horizontal="right"/>
      <protection/>
    </xf>
    <xf numFmtId="166" fontId="0" fillId="0" borderId="10" xfId="0" applyNumberFormat="1" applyFont="1" applyBorder="1" applyAlignment="1" applyProtection="1">
      <alignment horizontal="right"/>
      <protection/>
    </xf>
    <xf numFmtId="166" fontId="5" fillId="0" borderId="20" xfId="0" applyNumberFormat="1" applyFont="1" applyBorder="1" applyAlignment="1" applyProtection="1">
      <alignment horizontal="center"/>
      <protection/>
    </xf>
    <xf numFmtId="0" fontId="5" fillId="0" borderId="13" xfId="0" applyFont="1" applyFill="1" applyBorder="1" applyAlignment="1" applyProtection="1" quotePrefix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66" fontId="24" fillId="0" borderId="0" xfId="0" applyNumberFormat="1" applyFont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1" xfId="0" applyFont="1" applyFill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/>
      <protection/>
    </xf>
    <xf numFmtId="166" fontId="24" fillId="0" borderId="0" xfId="0" applyNumberFormat="1" applyFont="1" applyBorder="1" applyAlignment="1" applyProtection="1">
      <alignment/>
      <protection/>
    </xf>
    <xf numFmtId="166" fontId="0" fillId="0" borderId="0" xfId="0" applyNumberFormat="1" applyFont="1" applyBorder="1" applyAlignment="1" applyProtection="1">
      <alignment horizontal="right"/>
      <protection/>
    </xf>
    <xf numFmtId="0" fontId="3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 horizontal="right"/>
      <protection/>
    </xf>
    <xf numFmtId="0" fontId="21" fillId="0" borderId="1" xfId="0" applyFont="1" applyBorder="1" applyAlignment="1" applyProtection="1">
      <alignment horizontal="right"/>
      <protection/>
    </xf>
    <xf numFmtId="0" fontId="4" fillId="0" borderId="1" xfId="0" applyFont="1" applyBorder="1" applyAlignment="1" applyProtection="1" quotePrefix="1">
      <alignment horizontal="right"/>
      <protection/>
    </xf>
    <xf numFmtId="166" fontId="0" fillId="0" borderId="1" xfId="0" applyNumberFormat="1" applyFont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right"/>
      <protection/>
    </xf>
    <xf numFmtId="0" fontId="14" fillId="0" borderId="1" xfId="0" applyFont="1" applyBorder="1" applyAlignment="1" applyProtection="1">
      <alignment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2" fillId="2" borderId="29" xfId="0" applyFont="1" applyFill="1" applyBorder="1" applyAlignment="1" applyProtection="1">
      <alignment horizontal="center"/>
      <protection locked="0"/>
    </xf>
    <xf numFmtId="0" fontId="0" fillId="2" borderId="30" xfId="0" applyFont="1" applyFill="1" applyBorder="1" applyAlignment="1" applyProtection="1">
      <alignment/>
      <protection locked="0"/>
    </xf>
    <xf numFmtId="0" fontId="0" fillId="2" borderId="31" xfId="0" applyFont="1" applyFill="1" applyBorder="1" applyAlignment="1" applyProtection="1">
      <alignment/>
      <protection locked="0"/>
    </xf>
    <xf numFmtId="0" fontId="2" fillId="2" borderId="32" xfId="0" applyFont="1" applyFill="1" applyBorder="1" applyAlignment="1" applyProtection="1">
      <alignment horizontal="center"/>
      <protection locked="0"/>
    </xf>
    <xf numFmtId="0" fontId="26" fillId="2" borderId="33" xfId="0" applyFont="1" applyFill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right"/>
      <protection locked="0"/>
    </xf>
    <xf numFmtId="0" fontId="26" fillId="2" borderId="34" xfId="0" applyFont="1" applyFill="1" applyBorder="1" applyAlignment="1" applyProtection="1">
      <alignment horizontal="center"/>
      <protection locked="0"/>
    </xf>
    <xf numFmtId="0" fontId="26" fillId="2" borderId="35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0" fillId="0" borderId="36" xfId="0" applyFont="1" applyBorder="1" applyAlignment="1" applyProtection="1">
      <alignment horizontal="left"/>
      <protection/>
    </xf>
    <xf numFmtId="0" fontId="0" fillId="0" borderId="37" xfId="0" applyFont="1" applyBorder="1" applyAlignment="1" applyProtection="1">
      <alignment horizontal="center"/>
      <protection/>
    </xf>
    <xf numFmtId="0" fontId="0" fillId="0" borderId="38" xfId="0" applyFont="1" applyBorder="1" applyAlignment="1" applyProtection="1">
      <alignment horizontal="left"/>
      <protection/>
    </xf>
    <xf numFmtId="0" fontId="0" fillId="0" borderId="39" xfId="0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left"/>
      <protection/>
    </xf>
    <xf numFmtId="0" fontId="0" fillId="0" borderId="41" xfId="0" applyFont="1" applyBorder="1" applyAlignment="1" applyProtection="1">
      <alignment horizontal="center"/>
      <protection/>
    </xf>
    <xf numFmtId="0" fontId="0" fillId="0" borderId="42" xfId="0" applyFont="1" applyBorder="1" applyAlignment="1" applyProtection="1">
      <alignment horizontal="left"/>
      <protection/>
    </xf>
    <xf numFmtId="0" fontId="0" fillId="0" borderId="43" xfId="0" applyFont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0" fillId="0" borderId="45" xfId="0" applyFont="1" applyBorder="1" applyAlignment="1" applyProtection="1">
      <alignment horizontal="left"/>
      <protection/>
    </xf>
    <xf numFmtId="0" fontId="0" fillId="0" borderId="46" xfId="0" applyFont="1" applyBorder="1" applyAlignment="1" applyProtection="1">
      <alignment/>
      <protection/>
    </xf>
    <xf numFmtId="0" fontId="0" fillId="0" borderId="47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 horizontal="left"/>
      <protection/>
    </xf>
    <xf numFmtId="0" fontId="0" fillId="0" borderId="49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0" borderId="51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center"/>
      <protection/>
    </xf>
    <xf numFmtId="0" fontId="4" fillId="0" borderId="54" xfId="0" applyFont="1" applyBorder="1" applyAlignment="1" applyProtection="1">
      <alignment horizontal="center"/>
      <protection/>
    </xf>
    <xf numFmtId="0" fontId="0" fillId="0" borderId="51" xfId="0" applyFont="1" applyBorder="1" applyAlignment="1" applyProtection="1">
      <alignment/>
      <protection/>
    </xf>
    <xf numFmtId="0" fontId="0" fillId="0" borderId="55" xfId="0" applyFont="1" applyBorder="1" applyAlignment="1" applyProtection="1">
      <alignment horizontal="center"/>
      <protection/>
    </xf>
    <xf numFmtId="0" fontId="0" fillId="0" borderId="56" xfId="0" applyFont="1" applyBorder="1" applyAlignment="1" applyProtection="1">
      <alignment horizontal="center"/>
      <protection/>
    </xf>
    <xf numFmtId="0" fontId="0" fillId="0" borderId="57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0" fillId="0" borderId="1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right"/>
      <protection/>
    </xf>
    <xf numFmtId="2" fontId="5" fillId="0" borderId="0" xfId="0" applyNumberFormat="1" applyFont="1" applyBorder="1" applyAlignment="1" applyProtection="1">
      <alignment/>
      <protection/>
    </xf>
    <xf numFmtId="166" fontId="5" fillId="0" borderId="0" xfId="0" applyNumberFormat="1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166" fontId="0" fillId="0" borderId="0" xfId="0" applyNumberFormat="1" applyBorder="1" applyAlignment="1" applyProtection="1">
      <alignment horizontal="right"/>
      <protection/>
    </xf>
    <xf numFmtId="2" fontId="0" fillId="0" borderId="1" xfId="0" applyNumberFormat="1" applyBorder="1" applyAlignment="1" applyProtection="1">
      <alignment horizontal="center"/>
      <protection/>
    </xf>
    <xf numFmtId="166" fontId="0" fillId="0" borderId="1" xfId="0" applyNumberFormat="1" applyBorder="1" applyAlignment="1" applyProtection="1">
      <alignment horizontal="right"/>
      <protection/>
    </xf>
    <xf numFmtId="0" fontId="0" fillId="0" borderId="0" xfId="0" applyFont="1" applyBorder="1" applyAlignment="1" applyProtection="1" quotePrefix="1">
      <alignment horizontal="center"/>
      <protection hidden="1"/>
    </xf>
    <xf numFmtId="0" fontId="25" fillId="2" borderId="0" xfId="0" applyFont="1" applyFill="1" applyAlignment="1" applyProtection="1">
      <alignment horizontal="right"/>
      <protection locked="0"/>
    </xf>
    <xf numFmtId="0" fontId="0" fillId="2" borderId="0" xfId="0" applyFont="1" applyFill="1" applyAlignment="1" applyProtection="1" quotePrefix="1">
      <alignment horizontal="right"/>
      <protection locked="0"/>
    </xf>
    <xf numFmtId="0" fontId="14" fillId="0" borderId="1" xfId="0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17325"/>
          <c:w val="0.914"/>
          <c:h val="0.73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Plotter!$W$14:$W$15</c:f>
              <c:strCache>
                <c:ptCount val="1"/>
                <c:pt idx="0">
                  <c:v>Age 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Plotter!$V$16:$V$40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Plotter!$W$16:$W$40</c:f>
              <c:numCache>
                <c:ptCount val="25"/>
                <c:pt idx="0">
                  <c:v>0.8567150424713353</c:v>
                </c:pt>
                <c:pt idx="1">
                  <c:v>0.8345564034572523</c:v>
                </c:pt>
                <c:pt idx="2">
                  <c:v>0.8097320425063954</c:v>
                </c:pt>
                <c:pt idx="3">
                  <c:v>0.7821551482558721</c:v>
                </c:pt>
                <c:pt idx="4">
                  <c:v>0.75180644530213</c:v>
                </c:pt>
                <c:pt idx="5">
                  <c:v>0.7187500730578688</c:v>
                </c:pt>
                <c:pt idx="6">
                  <c:v>0.683146541234975</c:v>
                </c:pt>
                <c:pt idx="7">
                  <c:v>0.6452604098284295</c:v>
                </c:pt>
                <c:pt idx="8">
                  <c:v>0.6054604848297501</c:v>
                </c:pt>
                <c:pt idx="9">
                  <c:v>0.5642109720303939</c:v>
                </c:pt>
                <c:pt idx="10">
                  <c:v>0.5220531827406288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Plotter!$X$14:$X$15</c:f>
              <c:strCache>
                <c:ptCount val="1"/>
                <c:pt idx="0">
                  <c:v>Age 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Plotter!$V$16:$V$40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Plotter!$X$16:$X$40</c:f>
              <c:numCache>
                <c:ptCount val="25"/>
                <c:pt idx="0">
                  <c:v>0.7610182227206744</c:v>
                </c:pt>
                <c:pt idx="1">
                  <c:v>0.7287460795624796</c:v>
                </c:pt>
                <c:pt idx="2">
                  <c:v>0.6938689857755572</c:v>
                </c:pt>
                <c:pt idx="3">
                  <c:v>0.6566205053011</c:v>
                </c:pt>
                <c:pt idx="4">
                  <c:v>0.6173392773305781</c:v>
                </c:pt>
                <c:pt idx="5">
                  <c:v>0.5764629316867513</c:v>
                </c:pt>
                <c:pt idx="6">
                  <c:v>0.5345125315927961</c:v>
                </c:pt>
                <c:pt idx="7">
                  <c:v>0.4920681654650582</c:v>
                </c:pt>
                <c:pt idx="8">
                  <c:v>0.4497378360369714</c:v>
                </c:pt>
                <c:pt idx="9">
                  <c:v>0.4081230588116093</c:v>
                </c:pt>
                <c:pt idx="10">
                  <c:v>0.3677852320226815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Plotter!$Y$14:$Y$15</c:f>
              <c:strCache>
                <c:ptCount val="1"/>
                <c:pt idx="0">
                  <c:v>Age 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Plotter!$V$16:$V$40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Plotter!$Y$16:$Y$40</c:f>
              <c:numCache>
                <c:ptCount val="25"/>
                <c:pt idx="0">
                  <c:v>0.629079526628575</c:v>
                </c:pt>
                <c:pt idx="1">
                  <c:v>0.5886215854277994</c:v>
                </c:pt>
                <c:pt idx="2">
                  <c:v>0.5469289630779695</c:v>
                </c:pt>
                <c:pt idx="3">
                  <c:v>0.5045673729543182</c:v>
                </c:pt>
                <c:pt idx="4">
                  <c:v>0.46214010632914726</c:v>
                </c:pt>
                <c:pt idx="5">
                  <c:v>0.42025419154993815</c:v>
                </c:pt>
                <c:pt idx="6">
                  <c:v>0.3794861086323577</c:v>
                </c:pt>
                <c:pt idx="7">
                  <c:v>0.34035109818629844</c:v>
                </c:pt>
                <c:pt idx="8">
                  <c:v>0.3032793950821605</c:v>
                </c:pt>
                <c:pt idx="9">
                  <c:v>0.26860141872000215</c:v>
                </c:pt>
                <c:pt idx="10">
                  <c:v>0.2365424210104666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Plotter!$Z$14:$Z$15</c:f>
              <c:strCache>
                <c:ptCount val="1"/>
                <c:pt idx="0">
                  <c:v>Age 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Plotter!$V$16:$V$40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Plotter!$Z$16:$Z$40</c:f>
              <c:numCache>
                <c:ptCount val="25"/>
                <c:pt idx="0">
                  <c:v>0.4745894107217165</c:v>
                </c:pt>
                <c:pt idx="1">
                  <c:v>0.4324824319535735</c:v>
                </c:pt>
                <c:pt idx="2">
                  <c:v>0.391328822177218</c:v>
                </c:pt>
                <c:pt idx="3">
                  <c:v>0.3516646626061586</c:v>
                </c:pt>
                <c:pt idx="4">
                  <c:v>0.3139471512781875</c:v>
                </c:pt>
                <c:pt idx="5">
                  <c:v>0.27853703812635267</c:v>
                </c:pt>
                <c:pt idx="6">
                  <c:v>0.24569052733527053</c:v>
                </c:pt>
                <c:pt idx="7">
                  <c:v>0.21556013431930968</c:v>
                </c:pt>
                <c:pt idx="8">
                  <c:v>0.18820286881985937</c:v>
                </c:pt>
                <c:pt idx="9">
                  <c:v>0.16359350637597014</c:v>
                </c:pt>
                <c:pt idx="10">
                  <c:v>0.14164060359561348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Plotter!$AA$14:$AA$15</c:f>
              <c:strCache>
                <c:ptCount val="1"/>
                <c:pt idx="0">
                  <c:v>drop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Plotter!$V$16:$V$40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Plotter!$AA$16:$AA$40</c:f>
              <c:numCache>
                <c:ptCount val="25"/>
                <c:pt idx="0">
                  <c:v>0.32481520569283995</c:v>
                </c:pt>
                <c:pt idx="1">
                  <c:v>0.2886951116273429</c:v>
                </c:pt>
                <c:pt idx="2">
                  <c:v>0.25507422524870593</c:v>
                </c:pt>
                <c:pt idx="3">
                  <c:v>0.2241349977546236</c:v>
                </c:pt>
                <c:pt idx="4">
                  <c:v>0.19596133333878832</c:v>
                </c:pt>
                <c:pt idx="5">
                  <c:v>0.17055061135647978</c:v>
                </c:pt>
                <c:pt idx="6">
                  <c:v>0.1478291273050489</c:v>
                </c:pt>
                <c:pt idx="7">
                  <c:v>0.12766877302130536</c:v>
                </c:pt>
                <c:pt idx="8">
                  <c:v>0.10990322372162248</c:v>
                </c:pt>
                <c:pt idx="9">
                  <c:v>0.09434245060176844</c:v>
                </c:pt>
                <c:pt idx="10">
                  <c:v>0.08078490644961075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Plotter!$AB$14:$AB$15</c:f>
              <c:strCache>
                <c:ptCount val="1"/>
                <c:pt idx="0">
                  <c:v>drop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Plotter!$V$16:$V$40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Plotter!$AB$16:$AB$40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axId val="27136814"/>
        <c:axId val="54635471"/>
      </c:scatterChart>
      <c:valAx>
        <c:axId val="27136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x-Variable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635471"/>
        <c:crosses val="autoZero"/>
        <c:crossBetween val="midCat"/>
        <c:dispUnits/>
      </c:valAx>
      <c:valAx>
        <c:axId val="5463547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Predicted Probability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136814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735"/>
          <c:y val="0.025"/>
          <c:w val="0.74175"/>
          <c:h val="0.142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12</xdr:row>
      <xdr:rowOff>9525</xdr:rowOff>
    </xdr:from>
    <xdr:to>
      <xdr:col>14</xdr:col>
      <xdr:colOff>352425</xdr:colOff>
      <xdr:row>29</xdr:row>
      <xdr:rowOff>9525</xdr:rowOff>
    </xdr:to>
    <xdr:graphicFrame>
      <xdr:nvGraphicFramePr>
        <xdr:cNvPr id="1" name="Chart 16"/>
        <xdr:cNvGraphicFramePr/>
      </xdr:nvGraphicFramePr>
      <xdr:xfrm>
        <a:off x="3333750" y="2609850"/>
        <a:ext cx="5276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68"/>
  <sheetViews>
    <sheetView showGridLines="0" tabSelected="1" zoomScale="95" zoomScaleNormal="95" workbookViewId="0" topLeftCell="A1">
      <selection activeCell="B9" sqref="B9"/>
    </sheetView>
  </sheetViews>
  <sheetFormatPr defaultColWidth="9.140625" defaultRowHeight="12.75"/>
  <cols>
    <col min="1" max="1" width="2.57421875" style="26" customWidth="1"/>
    <col min="2" max="10" width="9.140625" style="26" customWidth="1"/>
    <col min="11" max="11" width="0" style="26" hidden="1" customWidth="1"/>
    <col min="12" max="12" width="9.140625" style="26" customWidth="1"/>
    <col min="13" max="13" width="9.140625" style="90" customWidth="1"/>
    <col min="14" max="16384" width="9.140625" style="26" customWidth="1"/>
  </cols>
  <sheetData>
    <row r="1" spans="2:16" ht="21.75" customHeight="1">
      <c r="B1" s="62" t="s">
        <v>134</v>
      </c>
      <c r="C1" s="63"/>
      <c r="D1" s="63"/>
      <c r="E1" s="61"/>
      <c r="F1" s="182" t="s">
        <v>129</v>
      </c>
      <c r="G1" s="63"/>
      <c r="H1" s="63"/>
      <c r="I1" s="63"/>
      <c r="J1" s="63"/>
      <c r="K1" s="27"/>
      <c r="L1" s="27"/>
      <c r="M1" s="28"/>
      <c r="N1" s="27"/>
      <c r="O1" s="27"/>
      <c r="P1" s="27"/>
    </row>
    <row r="2" spans="2:16" ht="18" customHeight="1">
      <c r="B2" s="64" t="s">
        <v>26</v>
      </c>
      <c r="C2" s="65"/>
      <c r="D2" s="65"/>
      <c r="E2" s="65"/>
      <c r="F2" s="65"/>
      <c r="G2" s="65"/>
      <c r="H2" s="63"/>
      <c r="I2" s="66"/>
      <c r="J2" s="65"/>
      <c r="K2" s="27"/>
      <c r="L2" s="27"/>
      <c r="M2" s="28"/>
      <c r="N2" s="27"/>
      <c r="O2" s="27"/>
      <c r="P2" s="27"/>
    </row>
    <row r="3" spans="2:16" ht="15" customHeight="1">
      <c r="B3" s="67" t="s">
        <v>25</v>
      </c>
      <c r="C3" s="68"/>
      <c r="D3" s="69"/>
      <c r="E3" s="70"/>
      <c r="F3" s="68"/>
      <c r="G3" s="68"/>
      <c r="H3" s="71"/>
      <c r="I3" s="72"/>
      <c r="J3" s="63" t="s">
        <v>139</v>
      </c>
      <c r="K3" s="27"/>
      <c r="L3" s="27"/>
      <c r="M3" s="28"/>
      <c r="N3" s="27"/>
      <c r="O3" s="27"/>
      <c r="P3" s="27"/>
    </row>
    <row r="4" spans="2:13" ht="15" customHeight="1">
      <c r="B4" s="180" t="s">
        <v>140</v>
      </c>
      <c r="C4" s="68"/>
      <c r="D4" s="69"/>
      <c r="E4" s="70"/>
      <c r="F4" s="68"/>
      <c r="G4" s="68"/>
      <c r="H4" s="71"/>
      <c r="I4" s="71"/>
      <c r="J4" s="71"/>
      <c r="K4" s="27"/>
      <c r="L4" s="27"/>
      <c r="M4" s="28"/>
    </row>
    <row r="5" spans="2:13" ht="15" customHeight="1">
      <c r="B5" s="73" t="s">
        <v>147</v>
      </c>
      <c r="C5" s="68"/>
      <c r="D5" s="69"/>
      <c r="E5" s="70"/>
      <c r="F5" s="68"/>
      <c r="G5" s="68"/>
      <c r="H5" s="71"/>
      <c r="I5" s="71"/>
      <c r="J5" s="71"/>
      <c r="K5" s="27"/>
      <c r="L5" s="27"/>
      <c r="M5" s="28"/>
    </row>
    <row r="6" spans="1:19" ht="15" customHeight="1">
      <c r="A6" s="31"/>
      <c r="B6" s="60"/>
      <c r="C6" s="10"/>
      <c r="D6" s="9"/>
      <c r="E6" s="32"/>
      <c r="F6" s="10"/>
      <c r="G6" s="10"/>
      <c r="H6" s="33"/>
      <c r="I6" s="33"/>
      <c r="J6" s="33"/>
      <c r="K6" s="31"/>
      <c r="L6" s="31"/>
      <c r="M6" s="34"/>
      <c r="N6" s="31"/>
      <c r="O6" s="31"/>
      <c r="P6" s="31"/>
      <c r="Q6" s="31"/>
      <c r="R6" s="31"/>
      <c r="S6" s="31"/>
    </row>
    <row r="7" spans="2:13" ht="23.25" customHeight="1" thickBot="1">
      <c r="B7" s="76" t="s">
        <v>123</v>
      </c>
      <c r="C7" s="77"/>
      <c r="D7" s="77"/>
      <c r="E7" s="78"/>
      <c r="F7" s="78"/>
      <c r="G7" s="4"/>
      <c r="M7" s="28"/>
    </row>
    <row r="8" spans="2:13" ht="15" customHeight="1" thickTop="1">
      <c r="B8" s="75" t="s">
        <v>11</v>
      </c>
      <c r="C8" s="183" t="s">
        <v>3</v>
      </c>
      <c r="D8" s="183" t="s">
        <v>0</v>
      </c>
      <c r="E8" s="183" t="s">
        <v>13</v>
      </c>
      <c r="F8" s="243" t="s">
        <v>14</v>
      </c>
      <c r="G8" s="4"/>
      <c r="M8" s="28"/>
    </row>
    <row r="9" spans="2:13" ht="15" customHeight="1">
      <c r="B9" s="8" t="s">
        <v>42</v>
      </c>
      <c r="C9" s="22">
        <v>0.57</v>
      </c>
      <c r="D9" s="22">
        <v>0.5</v>
      </c>
      <c r="E9" s="22">
        <v>0</v>
      </c>
      <c r="F9" s="22">
        <v>1</v>
      </c>
      <c r="M9" s="28"/>
    </row>
    <row r="10" ht="8.25" customHeight="1" hidden="1">
      <c r="M10" s="28"/>
    </row>
    <row r="11" spans="1:22" ht="15" customHeight="1">
      <c r="A11" s="27"/>
      <c r="B11" s="2"/>
      <c r="C11" s="4"/>
      <c r="D11" s="3"/>
      <c r="E11" s="29"/>
      <c r="F11" s="4"/>
      <c r="G11" s="4"/>
      <c r="H11" s="30"/>
      <c r="I11" s="30"/>
      <c r="J11" s="30"/>
      <c r="K11" s="27"/>
      <c r="L11" s="27"/>
      <c r="M11" s="28"/>
      <c r="N11" s="27"/>
      <c r="O11" s="27"/>
      <c r="P11" s="27"/>
      <c r="Q11" s="27"/>
      <c r="R11" s="27"/>
      <c r="S11" s="27"/>
      <c r="T11" s="27"/>
      <c r="U11" s="27"/>
      <c r="V11" s="27"/>
    </row>
    <row r="12" spans="2:18" ht="23.25" customHeight="1" thickBot="1">
      <c r="B12" s="79" t="s">
        <v>124</v>
      </c>
      <c r="C12" s="80"/>
      <c r="D12" s="81"/>
      <c r="E12" s="82"/>
      <c r="F12" s="80"/>
      <c r="G12" s="80"/>
      <c r="H12" s="83"/>
      <c r="I12" s="83"/>
      <c r="J12" s="84"/>
      <c r="M12" s="88"/>
      <c r="N12" s="27"/>
      <c r="O12" s="27"/>
      <c r="P12" s="27"/>
      <c r="Q12" s="27"/>
      <c r="R12" s="27"/>
    </row>
    <row r="13" spans="2:18" ht="15" customHeight="1" thickTop="1">
      <c r="B13" s="85"/>
      <c r="C13" s="85" t="s">
        <v>1</v>
      </c>
      <c r="D13" s="85"/>
      <c r="E13" s="85"/>
      <c r="F13" s="85" t="s">
        <v>0</v>
      </c>
      <c r="G13" s="85"/>
      <c r="H13" s="85"/>
      <c r="I13" s="86" t="s">
        <v>2</v>
      </c>
      <c r="J13" s="86" t="s">
        <v>7</v>
      </c>
      <c r="M13" s="27"/>
      <c r="N13" s="27"/>
      <c r="O13" s="27"/>
      <c r="P13" s="27"/>
      <c r="Q13" s="27"/>
      <c r="R13" s="27"/>
    </row>
    <row r="14" spans="2:18" ht="15" customHeight="1">
      <c r="B14" s="87" t="s">
        <v>2</v>
      </c>
      <c r="C14" s="87" t="s">
        <v>5</v>
      </c>
      <c r="D14" s="87" t="s">
        <v>6</v>
      </c>
      <c r="E14" s="87" t="s">
        <v>3</v>
      </c>
      <c r="F14" s="87" t="s">
        <v>4</v>
      </c>
      <c r="G14" s="87" t="s">
        <v>13</v>
      </c>
      <c r="H14" s="87" t="s">
        <v>14</v>
      </c>
      <c r="I14" s="87" t="s">
        <v>8</v>
      </c>
      <c r="J14" s="87" t="s">
        <v>19</v>
      </c>
      <c r="M14" s="27"/>
      <c r="N14" s="27"/>
      <c r="O14" s="27"/>
      <c r="P14" s="27"/>
      <c r="Q14" s="27"/>
      <c r="R14" s="27"/>
    </row>
    <row r="15" spans="2:18" ht="15" customHeight="1">
      <c r="B15" s="241" t="s">
        <v>43</v>
      </c>
      <c r="C15" s="17">
        <v>3.182</v>
      </c>
      <c r="D15" s="17">
        <v>4.94</v>
      </c>
      <c r="E15" s="242" t="s">
        <v>24</v>
      </c>
      <c r="F15" s="242" t="s">
        <v>24</v>
      </c>
      <c r="G15" s="242" t="s">
        <v>24</v>
      </c>
      <c r="H15" s="242" t="s">
        <v>24</v>
      </c>
      <c r="I15" s="242" t="s">
        <v>24</v>
      </c>
      <c r="J15" s="242" t="s">
        <v>24</v>
      </c>
      <c r="M15" s="27"/>
      <c r="N15" s="27"/>
      <c r="O15" s="27"/>
      <c r="P15" s="27"/>
      <c r="Q15" s="27"/>
      <c r="R15" s="27"/>
    </row>
    <row r="16" spans="2:18" ht="12.75" customHeight="1">
      <c r="B16" s="6" t="s">
        <v>153</v>
      </c>
      <c r="C16" s="7">
        <v>-1.463</v>
      </c>
      <c r="D16" s="7">
        <v>-7.43</v>
      </c>
      <c r="E16" s="18">
        <v>0.24</v>
      </c>
      <c r="F16" s="18">
        <v>0.52</v>
      </c>
      <c r="G16" s="18">
        <v>0</v>
      </c>
      <c r="H16" s="18">
        <v>3</v>
      </c>
      <c r="I16" s="7" t="s">
        <v>51</v>
      </c>
      <c r="J16" s="7" t="s">
        <v>52</v>
      </c>
      <c r="K16" s="89">
        <f>IF(J16="","",IF(J16="M",Mn,IF(J16="Min",Min,IF(J16="Max",Max,J16))))</f>
        <v>0.24</v>
      </c>
      <c r="M16" s="27"/>
      <c r="N16" s="27"/>
      <c r="O16" s="27"/>
      <c r="P16" s="27"/>
      <c r="Q16" s="27"/>
      <c r="R16" s="27"/>
    </row>
    <row r="17" spans="2:18" ht="12.75" customHeight="1">
      <c r="B17" s="6" t="s">
        <v>154</v>
      </c>
      <c r="C17" s="7">
        <v>-0.065</v>
      </c>
      <c r="D17" s="7">
        <v>-0.95</v>
      </c>
      <c r="E17" s="18">
        <v>1.35</v>
      </c>
      <c r="F17" s="18">
        <v>1.32</v>
      </c>
      <c r="G17" s="18">
        <v>0</v>
      </c>
      <c r="H17" s="18">
        <v>8</v>
      </c>
      <c r="I17" s="7" t="s">
        <v>51</v>
      </c>
      <c r="J17" s="7" t="s">
        <v>52</v>
      </c>
      <c r="K17" s="89">
        <f aca="true" t="shared" si="0" ref="K17:K65">IF(J17="","",IF(J17="M",Mn,IF(J17="Min",Min,IF(J17="Max",Max,J17))))</f>
        <v>1.35</v>
      </c>
      <c r="M17" s="27"/>
      <c r="N17" s="27"/>
      <c r="O17" s="27"/>
      <c r="P17" s="27"/>
      <c r="Q17" s="27"/>
      <c r="R17" s="27"/>
    </row>
    <row r="18" spans="2:18" ht="12.75" customHeight="1">
      <c r="B18" s="6" t="s">
        <v>44</v>
      </c>
      <c r="C18" s="7">
        <v>-0.063</v>
      </c>
      <c r="D18" s="7">
        <v>-4.92</v>
      </c>
      <c r="E18" s="18">
        <v>42.52</v>
      </c>
      <c r="F18" s="18">
        <v>8.07</v>
      </c>
      <c r="G18" s="18">
        <v>30</v>
      </c>
      <c r="H18" s="18">
        <v>60</v>
      </c>
      <c r="I18" s="7" t="s">
        <v>51</v>
      </c>
      <c r="J18" s="7" t="s">
        <v>52</v>
      </c>
      <c r="K18" s="89">
        <f t="shared" si="0"/>
        <v>42.52</v>
      </c>
      <c r="M18" s="27"/>
      <c r="N18" s="27"/>
      <c r="O18" s="27"/>
      <c r="P18" s="27"/>
      <c r="Q18" s="27"/>
      <c r="R18" s="27"/>
    </row>
    <row r="19" spans="2:18" ht="12.75" customHeight="1">
      <c r="B19" s="6" t="s">
        <v>45</v>
      </c>
      <c r="C19" s="7">
        <v>0.807</v>
      </c>
      <c r="D19" s="7">
        <v>3.51</v>
      </c>
      <c r="E19" s="18">
        <v>0.28</v>
      </c>
      <c r="F19" s="18">
        <v>0.45</v>
      </c>
      <c r="G19" s="18">
        <v>0</v>
      </c>
      <c r="H19" s="18">
        <v>1</v>
      </c>
      <c r="I19" s="7" t="s">
        <v>49</v>
      </c>
      <c r="J19" s="7" t="s">
        <v>52</v>
      </c>
      <c r="K19" s="89">
        <f t="shared" si="0"/>
        <v>0.28</v>
      </c>
      <c r="M19" s="27"/>
      <c r="N19" s="27"/>
      <c r="O19" s="27"/>
      <c r="P19" s="27"/>
      <c r="Q19" s="27"/>
      <c r="R19" s="27"/>
    </row>
    <row r="20" spans="2:18" ht="12.75" customHeight="1">
      <c r="B20" s="6" t="s">
        <v>46</v>
      </c>
      <c r="C20" s="7">
        <v>0.112</v>
      </c>
      <c r="D20" s="7">
        <v>0.54</v>
      </c>
      <c r="E20" s="18">
        <v>0.39</v>
      </c>
      <c r="F20" s="18">
        <v>0.49</v>
      </c>
      <c r="G20" s="18">
        <v>0</v>
      </c>
      <c r="H20" s="18">
        <v>1</v>
      </c>
      <c r="I20" s="7" t="s">
        <v>49</v>
      </c>
      <c r="J20" s="7" t="s">
        <v>52</v>
      </c>
      <c r="K20" s="89">
        <f t="shared" si="0"/>
        <v>0.39</v>
      </c>
      <c r="M20" s="27"/>
      <c r="N20" s="27"/>
      <c r="O20" s="27"/>
      <c r="P20" s="27"/>
      <c r="Q20" s="27"/>
      <c r="R20" s="27"/>
    </row>
    <row r="21" spans="2:18" ht="12.75" customHeight="1">
      <c r="B21" s="6" t="s">
        <v>47</v>
      </c>
      <c r="C21" s="7">
        <v>0.605</v>
      </c>
      <c r="D21" s="7">
        <v>4.01</v>
      </c>
      <c r="E21" s="18">
        <v>1.1</v>
      </c>
      <c r="F21" s="18">
        <v>0.59</v>
      </c>
      <c r="G21" s="18">
        <v>-2.05</v>
      </c>
      <c r="H21" s="18">
        <v>3.22</v>
      </c>
      <c r="I21" s="7" t="s">
        <v>51</v>
      </c>
      <c r="J21" s="7" t="s">
        <v>52</v>
      </c>
      <c r="K21" s="89">
        <f t="shared" si="0"/>
        <v>1.1</v>
      </c>
      <c r="M21" s="27"/>
      <c r="N21" s="27"/>
      <c r="O21" s="27"/>
      <c r="P21" s="27"/>
      <c r="Q21" s="27"/>
      <c r="R21" s="27"/>
    </row>
    <row r="22" spans="2:18" ht="12.75" customHeight="1">
      <c r="B22" s="6" t="s">
        <v>48</v>
      </c>
      <c r="C22" s="7">
        <v>-0.034</v>
      </c>
      <c r="D22" s="7">
        <v>-4.2</v>
      </c>
      <c r="E22" s="18">
        <v>20.13</v>
      </c>
      <c r="F22" s="18">
        <v>11.63</v>
      </c>
      <c r="G22" s="18">
        <v>-0.03</v>
      </c>
      <c r="H22" s="18">
        <v>96</v>
      </c>
      <c r="I22" s="7" t="s">
        <v>51</v>
      </c>
      <c r="J22" s="7" t="s">
        <v>52</v>
      </c>
      <c r="K22" s="89">
        <f t="shared" si="0"/>
        <v>20.13</v>
      </c>
      <c r="M22" s="27"/>
      <c r="N22" s="27"/>
      <c r="O22" s="27"/>
      <c r="P22" s="27"/>
      <c r="Q22" s="27"/>
      <c r="R22" s="27"/>
    </row>
    <row r="23" spans="2:18" ht="12.75" customHeight="1">
      <c r="B23" s="6"/>
      <c r="C23" s="19"/>
      <c r="D23" s="19"/>
      <c r="E23" s="19"/>
      <c r="F23" s="19"/>
      <c r="G23" s="20"/>
      <c r="H23" s="20"/>
      <c r="I23" s="7"/>
      <c r="J23" s="7"/>
      <c r="K23" s="89">
        <f t="shared" si="0"/>
      </c>
      <c r="M23" s="27"/>
      <c r="N23" s="27"/>
      <c r="O23" s="27"/>
      <c r="P23" s="27"/>
      <c r="Q23" s="27"/>
      <c r="R23" s="27"/>
    </row>
    <row r="24" spans="2:18" ht="12.75" customHeight="1">
      <c r="B24" s="6"/>
      <c r="C24" s="19"/>
      <c r="D24" s="19"/>
      <c r="E24" s="19"/>
      <c r="F24" s="19"/>
      <c r="G24" s="18"/>
      <c r="H24" s="18"/>
      <c r="I24" s="7"/>
      <c r="J24" s="7"/>
      <c r="K24" s="89">
        <f t="shared" si="0"/>
      </c>
      <c r="M24" s="27"/>
      <c r="N24" s="27"/>
      <c r="O24" s="27"/>
      <c r="P24" s="27"/>
      <c r="Q24" s="27"/>
      <c r="R24" s="27"/>
    </row>
    <row r="25" spans="2:18" ht="12.75" customHeight="1">
      <c r="B25" s="6"/>
      <c r="C25" s="19"/>
      <c r="D25" s="19"/>
      <c r="E25" s="19"/>
      <c r="F25" s="19"/>
      <c r="G25" s="18"/>
      <c r="H25" s="18"/>
      <c r="I25" s="7"/>
      <c r="J25" s="7"/>
      <c r="K25" s="89">
        <f t="shared" si="0"/>
      </c>
      <c r="M25" s="27"/>
      <c r="N25" s="27"/>
      <c r="O25" s="27"/>
      <c r="P25" s="27"/>
      <c r="Q25" s="27"/>
      <c r="R25" s="27"/>
    </row>
    <row r="26" spans="2:18" ht="12.75" customHeight="1">
      <c r="B26" s="6"/>
      <c r="C26" s="19"/>
      <c r="D26" s="19"/>
      <c r="E26" s="19"/>
      <c r="F26" s="19"/>
      <c r="G26" s="18"/>
      <c r="H26" s="18"/>
      <c r="I26" s="7"/>
      <c r="J26" s="7"/>
      <c r="K26" s="89">
        <f t="shared" si="0"/>
      </c>
      <c r="M26" s="27"/>
      <c r="N26" s="27"/>
      <c r="O26" s="27"/>
      <c r="P26" s="27"/>
      <c r="Q26" s="27"/>
      <c r="R26" s="27"/>
    </row>
    <row r="27" spans="2:18" ht="12.75" customHeight="1">
      <c r="B27" s="6"/>
      <c r="C27" s="19"/>
      <c r="D27" s="19"/>
      <c r="E27" s="19"/>
      <c r="F27" s="19"/>
      <c r="G27" s="18"/>
      <c r="H27" s="18"/>
      <c r="I27" s="7"/>
      <c r="J27" s="7"/>
      <c r="K27" s="89">
        <f t="shared" si="0"/>
      </c>
      <c r="M27" s="27"/>
      <c r="N27" s="27"/>
      <c r="O27" s="27"/>
      <c r="P27" s="27"/>
      <c r="Q27" s="27"/>
      <c r="R27" s="27"/>
    </row>
    <row r="28" spans="2:18" ht="12.75" customHeight="1">
      <c r="B28" s="6"/>
      <c r="C28" s="19"/>
      <c r="D28" s="19"/>
      <c r="E28" s="19"/>
      <c r="F28" s="19"/>
      <c r="G28" s="18"/>
      <c r="H28" s="18"/>
      <c r="I28" s="7"/>
      <c r="J28" s="7"/>
      <c r="K28" s="89">
        <f t="shared" si="0"/>
      </c>
      <c r="M28" s="27"/>
      <c r="N28" s="27"/>
      <c r="O28" s="27"/>
      <c r="P28" s="27"/>
      <c r="Q28" s="27"/>
      <c r="R28" s="27"/>
    </row>
    <row r="29" spans="2:18" ht="12.75" customHeight="1">
      <c r="B29" s="6"/>
      <c r="C29" s="19"/>
      <c r="D29" s="19"/>
      <c r="E29" s="19"/>
      <c r="F29" s="19"/>
      <c r="G29" s="18"/>
      <c r="H29" s="18"/>
      <c r="I29" s="7"/>
      <c r="J29" s="7"/>
      <c r="K29" s="89">
        <f t="shared" si="0"/>
      </c>
      <c r="M29" s="27"/>
      <c r="N29" s="27"/>
      <c r="O29" s="27"/>
      <c r="P29" s="27"/>
      <c r="Q29" s="27"/>
      <c r="R29" s="27"/>
    </row>
    <row r="30" spans="2:18" ht="12.75" customHeight="1">
      <c r="B30" s="6"/>
      <c r="C30" s="19"/>
      <c r="D30" s="19"/>
      <c r="E30" s="19"/>
      <c r="F30" s="19"/>
      <c r="G30" s="18"/>
      <c r="H30" s="18"/>
      <c r="I30" s="7"/>
      <c r="J30" s="7"/>
      <c r="K30" s="89">
        <f t="shared" si="0"/>
      </c>
      <c r="M30" s="27"/>
      <c r="N30" s="27"/>
      <c r="O30" s="27"/>
      <c r="P30" s="27"/>
      <c r="Q30" s="27"/>
      <c r="R30" s="27"/>
    </row>
    <row r="31" spans="2:18" ht="12.75" customHeight="1">
      <c r="B31" s="6"/>
      <c r="C31" s="19"/>
      <c r="D31" s="19"/>
      <c r="E31" s="19"/>
      <c r="F31" s="19"/>
      <c r="G31" s="18"/>
      <c r="H31" s="18"/>
      <c r="I31" s="7"/>
      <c r="J31" s="7"/>
      <c r="K31" s="89">
        <f t="shared" si="0"/>
      </c>
      <c r="M31" s="27"/>
      <c r="N31" s="27"/>
      <c r="O31" s="27"/>
      <c r="P31" s="27"/>
      <c r="Q31" s="27"/>
      <c r="R31" s="27"/>
    </row>
    <row r="32" spans="2:18" ht="12.75" customHeight="1">
      <c r="B32" s="6"/>
      <c r="C32" s="19"/>
      <c r="D32" s="19"/>
      <c r="E32" s="19"/>
      <c r="F32" s="19"/>
      <c r="G32" s="18"/>
      <c r="H32" s="18"/>
      <c r="I32" s="7"/>
      <c r="J32" s="7"/>
      <c r="K32" s="89">
        <f t="shared" si="0"/>
      </c>
      <c r="M32" s="27"/>
      <c r="N32" s="27"/>
      <c r="O32" s="27"/>
      <c r="P32" s="27"/>
      <c r="Q32" s="27"/>
      <c r="R32" s="27"/>
    </row>
    <row r="33" spans="2:18" ht="12.75" customHeight="1">
      <c r="B33" s="6"/>
      <c r="C33" s="19"/>
      <c r="D33" s="19"/>
      <c r="E33" s="19"/>
      <c r="F33" s="19"/>
      <c r="G33" s="18"/>
      <c r="H33" s="18"/>
      <c r="I33" s="7"/>
      <c r="J33" s="7"/>
      <c r="K33" s="89">
        <f t="shared" si="0"/>
      </c>
      <c r="M33" s="27"/>
      <c r="N33" s="27"/>
      <c r="O33" s="27"/>
      <c r="P33" s="27"/>
      <c r="Q33" s="27"/>
      <c r="R33" s="27"/>
    </row>
    <row r="34" spans="2:18" ht="12.75" customHeight="1">
      <c r="B34" s="6"/>
      <c r="C34" s="19"/>
      <c r="D34" s="19"/>
      <c r="E34" s="19"/>
      <c r="F34" s="19"/>
      <c r="G34" s="18"/>
      <c r="H34" s="18"/>
      <c r="I34" s="7"/>
      <c r="J34" s="7"/>
      <c r="K34" s="89">
        <f t="shared" si="0"/>
      </c>
      <c r="M34" s="27"/>
      <c r="N34" s="27"/>
      <c r="O34" s="27"/>
      <c r="P34" s="27"/>
      <c r="Q34" s="27"/>
      <c r="R34" s="27"/>
    </row>
    <row r="35" spans="2:18" ht="12.75" customHeight="1">
      <c r="B35" s="6"/>
      <c r="C35" s="19"/>
      <c r="D35" s="19"/>
      <c r="E35" s="19"/>
      <c r="F35" s="19"/>
      <c r="G35" s="18"/>
      <c r="H35" s="18"/>
      <c r="I35" s="7"/>
      <c r="J35" s="7"/>
      <c r="K35" s="89">
        <f t="shared" si="0"/>
      </c>
      <c r="M35" s="27"/>
      <c r="N35" s="27"/>
      <c r="O35" s="27"/>
      <c r="P35" s="27"/>
      <c r="Q35" s="27"/>
      <c r="R35" s="27"/>
    </row>
    <row r="36" spans="2:18" ht="12.75" customHeight="1">
      <c r="B36" s="6"/>
      <c r="C36" s="19"/>
      <c r="D36" s="19"/>
      <c r="E36" s="19"/>
      <c r="F36" s="19"/>
      <c r="G36" s="18"/>
      <c r="H36" s="18"/>
      <c r="I36" s="7"/>
      <c r="J36" s="7"/>
      <c r="K36" s="89">
        <f t="shared" si="0"/>
      </c>
      <c r="M36" s="27"/>
      <c r="N36" s="27"/>
      <c r="O36" s="27"/>
      <c r="P36" s="27"/>
      <c r="Q36" s="27"/>
      <c r="R36" s="27"/>
    </row>
    <row r="37" spans="2:18" ht="12.75" customHeight="1">
      <c r="B37" s="6"/>
      <c r="C37" s="19"/>
      <c r="D37" s="19"/>
      <c r="E37" s="19"/>
      <c r="F37" s="19"/>
      <c r="G37" s="18"/>
      <c r="H37" s="18"/>
      <c r="I37" s="7"/>
      <c r="J37" s="7"/>
      <c r="K37" s="89">
        <f t="shared" si="0"/>
      </c>
      <c r="M37" s="27"/>
      <c r="N37" s="27"/>
      <c r="O37" s="27"/>
      <c r="P37" s="27"/>
      <c r="Q37" s="27"/>
      <c r="R37" s="27"/>
    </row>
    <row r="38" spans="2:18" ht="12.75" customHeight="1">
      <c r="B38" s="6"/>
      <c r="C38" s="19"/>
      <c r="D38" s="19"/>
      <c r="E38" s="19"/>
      <c r="F38" s="19"/>
      <c r="G38" s="18"/>
      <c r="H38" s="18"/>
      <c r="I38" s="7"/>
      <c r="J38" s="7"/>
      <c r="K38" s="89">
        <f t="shared" si="0"/>
      </c>
      <c r="M38" s="27"/>
      <c r="N38" s="27"/>
      <c r="O38" s="27"/>
      <c r="P38" s="27"/>
      <c r="Q38" s="27"/>
      <c r="R38" s="27"/>
    </row>
    <row r="39" spans="2:18" ht="12.75" customHeight="1">
      <c r="B39" s="6"/>
      <c r="C39" s="19"/>
      <c r="D39" s="19"/>
      <c r="E39" s="19"/>
      <c r="F39" s="19"/>
      <c r="G39" s="18"/>
      <c r="H39" s="18"/>
      <c r="I39" s="7"/>
      <c r="J39" s="7"/>
      <c r="K39" s="89">
        <f t="shared" si="0"/>
      </c>
      <c r="M39" s="27"/>
      <c r="N39" s="27"/>
      <c r="O39" s="27"/>
      <c r="P39" s="27"/>
      <c r="Q39" s="27"/>
      <c r="R39" s="27"/>
    </row>
    <row r="40" spans="2:18" ht="12.75" customHeight="1">
      <c r="B40" s="6"/>
      <c r="C40" s="19"/>
      <c r="D40" s="19"/>
      <c r="E40" s="19"/>
      <c r="F40" s="19"/>
      <c r="G40" s="18"/>
      <c r="H40" s="18"/>
      <c r="I40" s="7"/>
      <c r="J40" s="7"/>
      <c r="K40" s="89">
        <f t="shared" si="0"/>
      </c>
      <c r="M40" s="27"/>
      <c r="N40" s="27"/>
      <c r="O40" s="27"/>
      <c r="P40" s="27"/>
      <c r="Q40" s="27"/>
      <c r="R40" s="27"/>
    </row>
    <row r="41" spans="2:18" ht="12.75" customHeight="1">
      <c r="B41" s="6"/>
      <c r="C41" s="19"/>
      <c r="D41" s="19"/>
      <c r="E41" s="19"/>
      <c r="F41" s="19"/>
      <c r="G41" s="18"/>
      <c r="H41" s="18"/>
      <c r="I41" s="7"/>
      <c r="J41" s="7"/>
      <c r="K41" s="89">
        <f t="shared" si="0"/>
      </c>
      <c r="M41" s="27"/>
      <c r="N41" s="27"/>
      <c r="O41" s="27"/>
      <c r="P41" s="27"/>
      <c r="Q41" s="27"/>
      <c r="R41" s="27"/>
    </row>
    <row r="42" spans="2:18" ht="12.75" customHeight="1">
      <c r="B42" s="6"/>
      <c r="C42" s="19"/>
      <c r="D42" s="19"/>
      <c r="E42" s="19"/>
      <c r="F42" s="19"/>
      <c r="G42" s="18"/>
      <c r="H42" s="18"/>
      <c r="I42" s="7"/>
      <c r="J42" s="7"/>
      <c r="K42" s="89">
        <f t="shared" si="0"/>
      </c>
      <c r="M42" s="27"/>
      <c r="N42" s="27"/>
      <c r="O42" s="27"/>
      <c r="P42" s="27"/>
      <c r="Q42" s="27"/>
      <c r="R42" s="27"/>
    </row>
    <row r="43" spans="2:18" ht="12.75" customHeight="1">
      <c r="B43" s="6"/>
      <c r="C43" s="19"/>
      <c r="D43" s="19"/>
      <c r="E43" s="19"/>
      <c r="F43" s="19"/>
      <c r="G43" s="18"/>
      <c r="H43" s="18"/>
      <c r="I43" s="7"/>
      <c r="J43" s="7"/>
      <c r="K43" s="89">
        <f t="shared" si="0"/>
      </c>
      <c r="M43" s="27"/>
      <c r="N43" s="27"/>
      <c r="O43" s="27"/>
      <c r="P43" s="27"/>
      <c r="Q43" s="27"/>
      <c r="R43" s="27"/>
    </row>
    <row r="44" spans="2:18" ht="12.75" customHeight="1">
      <c r="B44" s="6"/>
      <c r="C44" s="19"/>
      <c r="D44" s="19"/>
      <c r="E44" s="19"/>
      <c r="F44" s="19"/>
      <c r="G44" s="18"/>
      <c r="H44" s="18"/>
      <c r="I44" s="7"/>
      <c r="J44" s="7"/>
      <c r="K44" s="89">
        <f t="shared" si="0"/>
      </c>
      <c r="M44" s="27"/>
      <c r="N44" s="27"/>
      <c r="O44" s="27"/>
      <c r="P44" s="27"/>
      <c r="Q44" s="27"/>
      <c r="R44" s="27"/>
    </row>
    <row r="45" spans="2:18" ht="12.75" customHeight="1">
      <c r="B45" s="6"/>
      <c r="C45" s="19"/>
      <c r="D45" s="19"/>
      <c r="E45" s="19"/>
      <c r="F45" s="19"/>
      <c r="G45" s="18"/>
      <c r="H45" s="18"/>
      <c r="I45" s="7"/>
      <c r="J45" s="7"/>
      <c r="K45" s="89">
        <f t="shared" si="0"/>
      </c>
      <c r="M45" s="27"/>
      <c r="N45" s="27"/>
      <c r="O45" s="27"/>
      <c r="P45" s="27"/>
      <c r="Q45" s="27"/>
      <c r="R45" s="27"/>
    </row>
    <row r="46" spans="2:18" ht="12.75" customHeight="1">
      <c r="B46" s="6"/>
      <c r="C46" s="19"/>
      <c r="D46" s="19"/>
      <c r="E46" s="19"/>
      <c r="F46" s="19"/>
      <c r="G46" s="18"/>
      <c r="H46" s="18"/>
      <c r="I46" s="7"/>
      <c r="J46" s="7"/>
      <c r="K46" s="89">
        <f t="shared" si="0"/>
      </c>
      <c r="M46" s="27"/>
      <c r="N46" s="27"/>
      <c r="O46" s="27"/>
      <c r="P46" s="27"/>
      <c r="Q46" s="27"/>
      <c r="R46" s="27"/>
    </row>
    <row r="47" spans="2:18" ht="12.75" customHeight="1">
      <c r="B47" s="6"/>
      <c r="C47" s="19"/>
      <c r="D47" s="19"/>
      <c r="E47" s="19"/>
      <c r="F47" s="19"/>
      <c r="G47" s="18"/>
      <c r="H47" s="18"/>
      <c r="I47" s="7"/>
      <c r="J47" s="7"/>
      <c r="K47" s="89">
        <f t="shared" si="0"/>
      </c>
      <c r="M47" s="27"/>
      <c r="N47" s="27"/>
      <c r="O47" s="27"/>
      <c r="P47" s="27"/>
      <c r="Q47" s="27"/>
      <c r="R47" s="27"/>
    </row>
    <row r="48" spans="2:18" ht="12.75" customHeight="1">
      <c r="B48" s="6"/>
      <c r="C48" s="19"/>
      <c r="D48" s="19"/>
      <c r="E48" s="19"/>
      <c r="F48" s="19"/>
      <c r="G48" s="18"/>
      <c r="H48" s="18"/>
      <c r="I48" s="7"/>
      <c r="J48" s="7"/>
      <c r="K48" s="89">
        <f t="shared" si="0"/>
      </c>
      <c r="M48" s="27"/>
      <c r="N48" s="27"/>
      <c r="O48" s="27"/>
      <c r="P48" s="27"/>
      <c r="Q48" s="27"/>
      <c r="R48" s="27"/>
    </row>
    <row r="49" spans="2:18" ht="12.75" customHeight="1">
      <c r="B49" s="6"/>
      <c r="C49" s="19"/>
      <c r="D49" s="19"/>
      <c r="E49" s="19"/>
      <c r="F49" s="19"/>
      <c r="G49" s="18"/>
      <c r="H49" s="18"/>
      <c r="I49" s="7"/>
      <c r="J49" s="7"/>
      <c r="K49" s="89">
        <f t="shared" si="0"/>
      </c>
      <c r="M49" s="27"/>
      <c r="N49" s="27"/>
      <c r="O49" s="27"/>
      <c r="P49" s="27"/>
      <c r="Q49" s="27"/>
      <c r="R49" s="27"/>
    </row>
    <row r="50" spans="2:18" ht="12.75" customHeight="1">
      <c r="B50" s="6"/>
      <c r="C50" s="19"/>
      <c r="D50" s="19"/>
      <c r="E50" s="19"/>
      <c r="F50" s="19"/>
      <c r="G50" s="18"/>
      <c r="H50" s="18"/>
      <c r="I50" s="7"/>
      <c r="J50" s="7"/>
      <c r="K50" s="89">
        <f t="shared" si="0"/>
      </c>
      <c r="M50" s="27"/>
      <c r="N50" s="27"/>
      <c r="O50" s="27"/>
      <c r="P50" s="27"/>
      <c r="Q50" s="27"/>
      <c r="R50" s="27"/>
    </row>
    <row r="51" spans="2:18" ht="12.75" customHeight="1">
      <c r="B51" s="6"/>
      <c r="C51" s="19"/>
      <c r="D51" s="19"/>
      <c r="E51" s="19"/>
      <c r="F51" s="19"/>
      <c r="G51" s="18"/>
      <c r="H51" s="18"/>
      <c r="I51" s="7"/>
      <c r="J51" s="7"/>
      <c r="K51" s="89">
        <f t="shared" si="0"/>
      </c>
      <c r="M51" s="27"/>
      <c r="N51" s="27"/>
      <c r="O51" s="27"/>
      <c r="P51" s="27"/>
      <c r="Q51" s="27"/>
      <c r="R51" s="27"/>
    </row>
    <row r="52" spans="2:18" ht="12.75" customHeight="1">
      <c r="B52" s="6"/>
      <c r="C52" s="19"/>
      <c r="D52" s="19"/>
      <c r="E52" s="19"/>
      <c r="F52" s="19"/>
      <c r="G52" s="18"/>
      <c r="H52" s="18"/>
      <c r="I52" s="7"/>
      <c r="J52" s="7"/>
      <c r="K52" s="89">
        <f t="shared" si="0"/>
      </c>
      <c r="M52" s="27"/>
      <c r="N52" s="27"/>
      <c r="O52" s="27"/>
      <c r="P52" s="27"/>
      <c r="Q52" s="27"/>
      <c r="R52" s="27"/>
    </row>
    <row r="53" spans="2:18" ht="12.75" customHeight="1">
      <c r="B53" s="6"/>
      <c r="C53" s="19"/>
      <c r="D53" s="19"/>
      <c r="E53" s="19"/>
      <c r="F53" s="19"/>
      <c r="G53" s="18"/>
      <c r="H53" s="18"/>
      <c r="I53" s="7"/>
      <c r="J53" s="7"/>
      <c r="K53" s="89">
        <f t="shared" si="0"/>
      </c>
      <c r="M53" s="27"/>
      <c r="N53" s="27"/>
      <c r="O53" s="27"/>
      <c r="P53" s="27"/>
      <c r="Q53" s="27"/>
      <c r="R53" s="27"/>
    </row>
    <row r="54" spans="2:18" ht="12.75" customHeight="1">
      <c r="B54" s="6"/>
      <c r="C54" s="19"/>
      <c r="D54" s="19"/>
      <c r="E54" s="19"/>
      <c r="F54" s="19"/>
      <c r="G54" s="18"/>
      <c r="H54" s="18"/>
      <c r="I54" s="7"/>
      <c r="J54" s="7"/>
      <c r="K54" s="89">
        <f t="shared" si="0"/>
      </c>
      <c r="M54" s="27"/>
      <c r="N54" s="27"/>
      <c r="O54" s="27"/>
      <c r="P54" s="27"/>
      <c r="Q54" s="27"/>
      <c r="R54" s="27"/>
    </row>
    <row r="55" spans="2:18" ht="12.75" customHeight="1">
      <c r="B55" s="6"/>
      <c r="C55" s="19"/>
      <c r="D55" s="19"/>
      <c r="E55" s="19"/>
      <c r="F55" s="19"/>
      <c r="G55" s="18"/>
      <c r="H55" s="18"/>
      <c r="I55" s="7"/>
      <c r="J55" s="7"/>
      <c r="K55" s="89">
        <f t="shared" si="0"/>
      </c>
      <c r="M55" s="27"/>
      <c r="N55" s="27"/>
      <c r="O55" s="27"/>
      <c r="P55" s="27"/>
      <c r="Q55" s="27"/>
      <c r="R55" s="27"/>
    </row>
    <row r="56" spans="2:18" ht="12.75" customHeight="1">
      <c r="B56" s="6"/>
      <c r="C56" s="19"/>
      <c r="D56" s="19"/>
      <c r="E56" s="19"/>
      <c r="F56" s="19"/>
      <c r="G56" s="18"/>
      <c r="H56" s="18"/>
      <c r="I56" s="7"/>
      <c r="J56" s="7"/>
      <c r="K56" s="89">
        <f t="shared" si="0"/>
      </c>
      <c r="M56" s="27"/>
      <c r="N56" s="27"/>
      <c r="O56" s="27"/>
      <c r="P56" s="27"/>
      <c r="Q56" s="27"/>
      <c r="R56" s="27"/>
    </row>
    <row r="57" spans="2:18" ht="12.75" customHeight="1">
      <c r="B57" s="6"/>
      <c r="C57" s="19"/>
      <c r="D57" s="19"/>
      <c r="E57" s="19"/>
      <c r="F57" s="19"/>
      <c r="G57" s="18"/>
      <c r="H57" s="18"/>
      <c r="I57" s="7"/>
      <c r="J57" s="7"/>
      <c r="K57" s="89">
        <f t="shared" si="0"/>
      </c>
      <c r="M57" s="27"/>
      <c r="N57" s="27"/>
      <c r="O57" s="27"/>
      <c r="P57" s="27"/>
      <c r="Q57" s="27"/>
      <c r="R57" s="27"/>
    </row>
    <row r="58" spans="2:18" ht="12.75" customHeight="1">
      <c r="B58" s="6"/>
      <c r="C58" s="19"/>
      <c r="D58" s="19"/>
      <c r="E58" s="19"/>
      <c r="F58" s="19"/>
      <c r="G58" s="18"/>
      <c r="H58" s="18"/>
      <c r="I58" s="7"/>
      <c r="J58" s="7"/>
      <c r="K58" s="89">
        <f t="shared" si="0"/>
      </c>
      <c r="M58" s="27"/>
      <c r="N58" s="27"/>
      <c r="O58" s="27"/>
      <c r="P58" s="27"/>
      <c r="Q58" s="27"/>
      <c r="R58" s="27"/>
    </row>
    <row r="59" spans="2:18" ht="12.75" customHeight="1">
      <c r="B59" s="6"/>
      <c r="C59" s="19"/>
      <c r="D59" s="19"/>
      <c r="E59" s="19"/>
      <c r="F59" s="19"/>
      <c r="G59" s="18"/>
      <c r="H59" s="18"/>
      <c r="I59" s="7"/>
      <c r="J59" s="7"/>
      <c r="K59" s="89">
        <f t="shared" si="0"/>
      </c>
      <c r="M59" s="27"/>
      <c r="N59" s="27"/>
      <c r="O59" s="27"/>
      <c r="P59" s="27"/>
      <c r="Q59" s="27"/>
      <c r="R59" s="27"/>
    </row>
    <row r="60" spans="2:18" ht="12.75" customHeight="1">
      <c r="B60" s="6"/>
      <c r="C60" s="19"/>
      <c r="D60" s="19"/>
      <c r="E60" s="19"/>
      <c r="F60" s="19"/>
      <c r="G60" s="18"/>
      <c r="H60" s="18"/>
      <c r="I60" s="7"/>
      <c r="J60" s="7"/>
      <c r="K60" s="89">
        <f t="shared" si="0"/>
      </c>
      <c r="M60" s="27"/>
      <c r="N60" s="27"/>
      <c r="O60" s="27"/>
      <c r="P60" s="27"/>
      <c r="Q60" s="27"/>
      <c r="R60" s="27"/>
    </row>
    <row r="61" spans="2:18" ht="12.75" customHeight="1">
      <c r="B61" s="6"/>
      <c r="C61" s="19"/>
      <c r="D61" s="19"/>
      <c r="E61" s="19"/>
      <c r="F61" s="19"/>
      <c r="G61" s="18"/>
      <c r="H61" s="18"/>
      <c r="I61" s="7"/>
      <c r="J61" s="7"/>
      <c r="K61" s="89">
        <f t="shared" si="0"/>
      </c>
      <c r="M61" s="27"/>
      <c r="N61" s="27"/>
      <c r="O61" s="27"/>
      <c r="P61" s="27"/>
      <c r="Q61" s="27"/>
      <c r="R61" s="27"/>
    </row>
    <row r="62" spans="2:18" ht="12.75" customHeight="1">
      <c r="B62" s="6"/>
      <c r="C62" s="19"/>
      <c r="D62" s="19"/>
      <c r="E62" s="19"/>
      <c r="F62" s="19"/>
      <c r="G62" s="18"/>
      <c r="H62" s="18"/>
      <c r="I62" s="7"/>
      <c r="J62" s="7"/>
      <c r="K62" s="89">
        <f t="shared" si="0"/>
      </c>
      <c r="M62" s="27"/>
      <c r="N62" s="27"/>
      <c r="O62" s="27"/>
      <c r="P62" s="27"/>
      <c r="Q62" s="27"/>
      <c r="R62" s="27"/>
    </row>
    <row r="63" spans="2:18" ht="12.75" customHeight="1">
      <c r="B63" s="6"/>
      <c r="C63" s="19"/>
      <c r="D63" s="19"/>
      <c r="E63" s="19"/>
      <c r="F63" s="19"/>
      <c r="G63" s="18"/>
      <c r="H63" s="18"/>
      <c r="I63" s="7"/>
      <c r="J63" s="7"/>
      <c r="K63" s="89">
        <f t="shared" si="0"/>
      </c>
      <c r="M63" s="27"/>
      <c r="N63" s="27"/>
      <c r="O63" s="27"/>
      <c r="P63" s="27"/>
      <c r="Q63" s="27"/>
      <c r="R63" s="27"/>
    </row>
    <row r="64" spans="2:18" ht="12.75" customHeight="1">
      <c r="B64" s="6"/>
      <c r="C64" s="19"/>
      <c r="D64" s="19"/>
      <c r="E64" s="19"/>
      <c r="F64" s="19"/>
      <c r="G64" s="18"/>
      <c r="H64" s="18"/>
      <c r="I64" s="7"/>
      <c r="J64" s="7"/>
      <c r="K64" s="89">
        <f t="shared" si="0"/>
      </c>
      <c r="M64" s="27"/>
      <c r="N64" s="27"/>
      <c r="O64" s="27"/>
      <c r="P64" s="27"/>
      <c r="Q64" s="27"/>
      <c r="R64" s="27"/>
    </row>
    <row r="65" spans="2:18" ht="12.75" customHeight="1">
      <c r="B65" s="8"/>
      <c r="C65" s="21"/>
      <c r="D65" s="21"/>
      <c r="E65" s="21"/>
      <c r="F65" s="21"/>
      <c r="G65" s="22"/>
      <c r="H65" s="22"/>
      <c r="I65" s="35"/>
      <c r="J65" s="35"/>
      <c r="K65" s="89">
        <f t="shared" si="0"/>
      </c>
      <c r="M65" s="27"/>
      <c r="N65" s="27"/>
      <c r="O65" s="27"/>
      <c r="P65" s="27"/>
      <c r="Q65" s="27"/>
      <c r="R65" s="27"/>
    </row>
    <row r="66" spans="13:18" ht="12.75">
      <c r="M66" s="28"/>
      <c r="N66" s="27"/>
      <c r="O66" s="27"/>
      <c r="P66" s="27"/>
      <c r="Q66" s="27"/>
      <c r="R66" s="27"/>
    </row>
    <row r="67" spans="13:18" ht="12.75">
      <c r="M67" s="28"/>
      <c r="N67" s="27"/>
      <c r="O67" s="27"/>
      <c r="P67" s="27"/>
      <c r="Q67" s="27"/>
      <c r="R67" s="27"/>
    </row>
    <row r="68" spans="13:18" ht="12.75">
      <c r="M68" s="28"/>
      <c r="N68" s="27"/>
      <c r="O68" s="27"/>
      <c r="P68" s="27"/>
      <c r="Q68" s="27"/>
      <c r="R68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U65"/>
  <sheetViews>
    <sheetView showGridLines="0" zoomScale="95" zoomScaleNormal="95" workbookViewId="0" topLeftCell="A1">
      <selection activeCell="D26" sqref="D26"/>
    </sheetView>
  </sheetViews>
  <sheetFormatPr defaultColWidth="9.140625" defaultRowHeight="12.75"/>
  <cols>
    <col min="1" max="1" width="2.7109375" style="36" customWidth="1"/>
    <col min="2" max="2" width="3.421875" style="36" customWidth="1"/>
    <col min="3" max="3" width="4.140625" style="36" customWidth="1"/>
    <col min="4" max="4" width="13.28125" style="36" customWidth="1"/>
    <col min="5" max="5" width="11.421875" style="36" customWidth="1"/>
    <col min="6" max="6" width="12.57421875" style="36" customWidth="1"/>
    <col min="7" max="7" width="2.8515625" style="36" customWidth="1"/>
    <col min="8" max="8" width="9.140625" style="36" hidden="1" customWidth="1"/>
    <col min="9" max="10" width="9.140625" style="36" customWidth="1"/>
    <col min="11" max="11" width="11.57421875" style="36" customWidth="1"/>
    <col min="12" max="16" width="9.140625" style="36" customWidth="1"/>
    <col min="17" max="16384" width="8.8515625" style="36" customWidth="1"/>
  </cols>
  <sheetData>
    <row r="1" spans="2:16" ht="21.75" customHeight="1">
      <c r="B1" s="62" t="s">
        <v>16</v>
      </c>
      <c r="C1" s="63"/>
      <c r="D1" s="63"/>
      <c r="E1" s="63"/>
      <c r="F1" s="63"/>
      <c r="G1" s="63"/>
      <c r="H1" s="182" t="s">
        <v>129</v>
      </c>
      <c r="I1" s="63"/>
      <c r="J1" s="63"/>
      <c r="K1" s="63"/>
      <c r="L1" s="61"/>
      <c r="M1" s="103"/>
      <c r="N1" s="103"/>
      <c r="O1" s="103"/>
      <c r="P1" s="103"/>
    </row>
    <row r="2" spans="2:16" ht="18" customHeight="1">
      <c r="B2" s="61"/>
      <c r="C2" s="64" t="s">
        <v>26</v>
      </c>
      <c r="D2" s="65"/>
      <c r="E2" s="63"/>
      <c r="F2" s="63"/>
      <c r="G2" s="63"/>
      <c r="H2" s="63"/>
      <c r="I2" s="63"/>
      <c r="J2" s="61"/>
      <c r="K2" s="63"/>
      <c r="L2" s="61"/>
      <c r="M2" s="103"/>
      <c r="N2" s="103"/>
      <c r="O2" s="103"/>
      <c r="P2" s="103"/>
    </row>
    <row r="3" spans="2:16" ht="15" customHeight="1">
      <c r="B3" s="61"/>
      <c r="C3" s="104" t="s">
        <v>27</v>
      </c>
      <c r="D3" s="105" t="s">
        <v>126</v>
      </c>
      <c r="E3" s="106"/>
      <c r="F3" s="106"/>
      <c r="G3" s="106"/>
      <c r="H3" s="106"/>
      <c r="I3" s="106"/>
      <c r="J3" s="61"/>
      <c r="K3" s="107"/>
      <c r="L3" s="61"/>
      <c r="M3" s="103"/>
      <c r="N3" s="103"/>
      <c r="O3" s="103"/>
      <c r="P3" s="103"/>
    </row>
    <row r="4" spans="2:16" ht="15" customHeight="1">
      <c r="B4" s="61"/>
      <c r="C4" s="108" t="s">
        <v>28</v>
      </c>
      <c r="D4" s="103" t="s">
        <v>127</v>
      </c>
      <c r="E4" s="106"/>
      <c r="F4" s="106"/>
      <c r="G4" s="106"/>
      <c r="H4" s="106"/>
      <c r="I4" s="106"/>
      <c r="J4" s="61"/>
      <c r="K4" s="106"/>
      <c r="L4" s="61"/>
      <c r="M4" s="103"/>
      <c r="N4" s="103"/>
      <c r="O4" s="103"/>
      <c r="P4" s="103"/>
    </row>
    <row r="5" spans="2:16" ht="15" customHeight="1">
      <c r="B5" s="61"/>
      <c r="C5" s="109" t="s">
        <v>29</v>
      </c>
      <c r="D5" s="63" t="s">
        <v>128</v>
      </c>
      <c r="E5" s="106"/>
      <c r="F5" s="106"/>
      <c r="G5" s="106"/>
      <c r="H5" s="106"/>
      <c r="I5" s="106"/>
      <c r="J5" s="61"/>
      <c r="K5" s="106"/>
      <c r="L5" s="61"/>
      <c r="M5" s="103"/>
      <c r="N5" s="103"/>
      <c r="O5" s="103"/>
      <c r="P5" s="103"/>
    </row>
    <row r="6" spans="2:16" ht="15" customHeight="1">
      <c r="B6" s="61"/>
      <c r="C6" s="103"/>
      <c r="D6" s="106" t="s">
        <v>125</v>
      </c>
      <c r="E6" s="106"/>
      <c r="F6" s="106"/>
      <c r="G6" s="106"/>
      <c r="H6" s="106"/>
      <c r="I6" s="106"/>
      <c r="J6" s="61"/>
      <c r="K6" s="106"/>
      <c r="L6" s="61"/>
      <c r="M6" s="103"/>
      <c r="N6" s="103"/>
      <c r="O6" s="103"/>
      <c r="P6" s="103"/>
    </row>
    <row r="7" spans="2:12" ht="15" customHeight="1">
      <c r="B7" s="38"/>
      <c r="D7" s="37"/>
      <c r="E7" s="37"/>
      <c r="F7" s="37"/>
      <c r="G7" s="37"/>
      <c r="H7" s="37"/>
      <c r="I7" s="37"/>
      <c r="J7" s="26"/>
      <c r="K7" s="37"/>
      <c r="L7" s="26"/>
    </row>
    <row r="8" spans="10:11" ht="15" customHeight="1">
      <c r="J8" s="39"/>
      <c r="K8" s="39"/>
    </row>
    <row r="9" spans="8:9" ht="15" customHeight="1">
      <c r="H9" s="40"/>
      <c r="I9" s="40"/>
    </row>
    <row r="10" ht="15" customHeight="1"/>
    <row r="11" spans="1:21" ht="15" customHeight="1">
      <c r="A11" s="41"/>
      <c r="B11" s="41"/>
      <c r="C11" s="41"/>
      <c r="D11" s="41"/>
      <c r="E11" s="42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</row>
    <row r="12" spans="1:11" ht="24" customHeight="1" thickBot="1">
      <c r="A12" s="26"/>
      <c r="C12" s="79" t="s">
        <v>53</v>
      </c>
      <c r="D12" s="79"/>
      <c r="E12" s="110"/>
      <c r="F12" s="111"/>
      <c r="G12" s="111"/>
      <c r="H12" s="26"/>
      <c r="I12" s="26"/>
      <c r="J12" s="79" t="s">
        <v>30</v>
      </c>
      <c r="K12" s="84"/>
    </row>
    <row r="13" spans="1:11" ht="15.75" customHeight="1" thickTop="1">
      <c r="A13" s="26"/>
      <c r="C13" s="112"/>
      <c r="D13" s="113" t="s">
        <v>138</v>
      </c>
      <c r="E13" s="114"/>
      <c r="F13" s="115" t="s">
        <v>136</v>
      </c>
      <c r="G13" s="116"/>
      <c r="H13" s="26"/>
      <c r="I13" s="26"/>
      <c r="J13" s="61"/>
      <c r="K13" s="61"/>
    </row>
    <row r="14" spans="1:11" ht="15.75" customHeight="1">
      <c r="A14" s="26"/>
      <c r="C14" s="117"/>
      <c r="D14" s="118" t="s">
        <v>137</v>
      </c>
      <c r="E14" s="114"/>
      <c r="F14" s="119" t="s">
        <v>135</v>
      </c>
      <c r="G14" s="120"/>
      <c r="H14" s="26"/>
      <c r="I14" s="26"/>
      <c r="J14" s="74" t="s">
        <v>146</v>
      </c>
      <c r="K14" s="183" t="s">
        <v>15</v>
      </c>
    </row>
    <row r="15" spans="1:11" ht="7.5" customHeight="1">
      <c r="A15" s="26"/>
      <c r="C15" s="91"/>
      <c r="E15" s="121"/>
      <c r="F15" s="122"/>
      <c r="G15" s="123"/>
      <c r="H15" s="26"/>
      <c r="I15" s="26"/>
      <c r="J15" s="61"/>
      <c r="K15" s="61"/>
    </row>
    <row r="16" spans="1:11" ht="15.75" customHeight="1">
      <c r="A16" s="26"/>
      <c r="C16" s="91"/>
      <c r="E16" s="124" t="s">
        <v>7</v>
      </c>
      <c r="F16" s="125">
        <f>CDF(Sbase)</f>
        <v>0.5781271836915254</v>
      </c>
      <c r="G16" s="126"/>
      <c r="H16" s="26"/>
      <c r="I16" s="26"/>
      <c r="J16" s="147" t="str">
        <f>RHV</f>
        <v>K5</v>
      </c>
      <c r="K16" s="147">
        <f>IF(Bval="","",+Bval)</f>
        <v>0.24</v>
      </c>
    </row>
    <row r="17" spans="1:11" ht="15.75" customHeight="1">
      <c r="A17" s="26"/>
      <c r="C17" s="95"/>
      <c r="D17" s="92"/>
      <c r="E17" s="124" t="s">
        <v>3</v>
      </c>
      <c r="F17" s="125">
        <f>CDF(Smn)</f>
        <v>0.5781271836915254</v>
      </c>
      <c r="G17" s="126"/>
      <c r="H17" s="26"/>
      <c r="I17" s="26"/>
      <c r="J17" s="103" t="str">
        <f>IF(RHV="","---",+RHV)</f>
        <v>K618</v>
      </c>
      <c r="K17" s="103">
        <f>IF(Bval="","---",+Bval)</f>
        <v>1.35</v>
      </c>
    </row>
    <row r="18" spans="1:11" ht="15.75" customHeight="1">
      <c r="A18" s="26"/>
      <c r="C18" s="95"/>
      <c r="D18" s="92"/>
      <c r="E18" s="124" t="s">
        <v>9</v>
      </c>
      <c r="F18" s="125">
        <f>CDF(Smin)</f>
        <v>0.5131894394524901</v>
      </c>
      <c r="G18" s="126"/>
      <c r="H18" s="26"/>
      <c r="I18" s="26"/>
      <c r="J18" s="103" t="str">
        <f aca="true" t="shared" si="0" ref="J18:J65">IF(RHV="","---",+RHV)</f>
        <v>Age</v>
      </c>
      <c r="K18" s="85">
        <f aca="true" t="shared" si="1" ref="K18:K65">IF(Bval="","---",+Bval)</f>
        <v>42.52</v>
      </c>
    </row>
    <row r="19" spans="1:11" ht="15.75" customHeight="1">
      <c r="A19" s="26"/>
      <c r="C19" s="96"/>
      <c r="D19" s="93"/>
      <c r="E19" s="127" t="s">
        <v>10</v>
      </c>
      <c r="F19" s="128">
        <f>CDF(Smax)</f>
        <v>0.0027213558042321114</v>
      </c>
      <c r="G19" s="129"/>
      <c r="H19" s="26"/>
      <c r="I19" s="26"/>
      <c r="J19" s="103" t="str">
        <f t="shared" si="0"/>
        <v>WC</v>
      </c>
      <c r="K19" s="85">
        <f t="shared" si="1"/>
        <v>0.28</v>
      </c>
    </row>
    <row r="20" spans="1:11" ht="15.75" customHeight="1">
      <c r="A20" s="26"/>
      <c r="C20" s="130"/>
      <c r="D20" s="63"/>
      <c r="E20" s="131"/>
      <c r="F20" s="132"/>
      <c r="G20" s="133"/>
      <c r="H20" s="26"/>
      <c r="I20" s="26"/>
      <c r="J20" s="103" t="str">
        <f t="shared" si="0"/>
        <v>HC</v>
      </c>
      <c r="K20" s="85">
        <f t="shared" si="1"/>
        <v>0.39</v>
      </c>
    </row>
    <row r="21" spans="1:11" ht="15.75" customHeight="1">
      <c r="A21" s="26"/>
      <c r="C21" s="130" t="s">
        <v>57</v>
      </c>
      <c r="D21" s="63"/>
      <c r="E21" s="63"/>
      <c r="F21" s="134"/>
      <c r="G21" s="123"/>
      <c r="H21" s="26"/>
      <c r="I21" s="26"/>
      <c r="J21" s="103" t="str">
        <f t="shared" si="0"/>
        <v>Lwg</v>
      </c>
      <c r="K21" s="85">
        <f t="shared" si="1"/>
        <v>1.1</v>
      </c>
    </row>
    <row r="22" spans="1:11" ht="15.75" customHeight="1">
      <c r="A22" s="26"/>
      <c r="C22" s="135"/>
      <c r="D22" s="113" t="s">
        <v>54</v>
      </c>
      <c r="E22" s="63"/>
      <c r="F22" s="134"/>
      <c r="G22" s="123"/>
      <c r="H22" s="26"/>
      <c r="I22" s="26"/>
      <c r="J22" s="103" t="str">
        <f t="shared" si="0"/>
        <v>Inc</v>
      </c>
      <c r="K22" s="85">
        <f t="shared" si="1"/>
        <v>20.13</v>
      </c>
    </row>
    <row r="23" spans="1:11" ht="15.75" customHeight="1">
      <c r="A23" s="26"/>
      <c r="C23" s="136"/>
      <c r="D23" s="137" t="s">
        <v>55</v>
      </c>
      <c r="E23" s="74"/>
      <c r="F23" s="138"/>
      <c r="G23" s="120"/>
      <c r="H23" s="26"/>
      <c r="I23" s="26"/>
      <c r="J23" s="103" t="str">
        <f t="shared" si="0"/>
        <v>---</v>
      </c>
      <c r="K23" s="85" t="str">
        <f t="shared" si="1"/>
        <v>---</v>
      </c>
    </row>
    <row r="24" spans="3:11" ht="15.75" customHeight="1">
      <c r="C24" s="97"/>
      <c r="D24" s="43"/>
      <c r="E24" s="44">
        <v>0</v>
      </c>
      <c r="F24" s="139">
        <f>IF(ChV="","",+CDF(+SumC))</f>
        <v>0.6606539960441474</v>
      </c>
      <c r="G24" s="140"/>
      <c r="H24" s="26"/>
      <c r="I24" s="26"/>
      <c r="J24" s="103" t="str">
        <f t="shared" si="0"/>
        <v>---</v>
      </c>
      <c r="K24" s="85" t="str">
        <f t="shared" si="1"/>
        <v>---</v>
      </c>
    </row>
    <row r="25" spans="3:11" ht="15.75" customHeight="1">
      <c r="C25" s="98"/>
      <c r="D25" s="45"/>
      <c r="E25" s="46">
        <v>1</v>
      </c>
      <c r="F25" s="139">
        <f aca="true" t="shared" si="2" ref="F25:F38">IF(ChV="","",+CDF(+SumC))</f>
        <v>0.3107125873950596</v>
      </c>
      <c r="G25" s="140"/>
      <c r="H25" s="26"/>
      <c r="I25" s="26"/>
      <c r="J25" s="103" t="str">
        <f t="shared" si="0"/>
        <v>---</v>
      </c>
      <c r="K25" s="85" t="str">
        <f t="shared" si="1"/>
        <v>---</v>
      </c>
    </row>
    <row r="26" spans="3:11" ht="15.75" customHeight="1">
      <c r="C26" s="146" t="s">
        <v>27</v>
      </c>
      <c r="D26" s="47" t="s">
        <v>56</v>
      </c>
      <c r="E26" s="46">
        <v>2</v>
      </c>
      <c r="F26" s="139">
        <f t="shared" si="2"/>
        <v>0.09450833848754196</v>
      </c>
      <c r="G26" s="140"/>
      <c r="H26" s="26"/>
      <c r="I26" s="26"/>
      <c r="J26" s="103" t="str">
        <f t="shared" si="0"/>
        <v>---</v>
      </c>
      <c r="K26" s="85" t="str">
        <f t="shared" si="1"/>
        <v>---</v>
      </c>
    </row>
    <row r="27" spans="3:11" ht="15.75" customHeight="1">
      <c r="C27" s="99"/>
      <c r="D27" s="48"/>
      <c r="E27" s="46">
        <v>3</v>
      </c>
      <c r="F27" s="139">
        <f t="shared" si="2"/>
        <v>0.02359621263115863</v>
      </c>
      <c r="G27" s="140"/>
      <c r="H27" s="26"/>
      <c r="I27" s="26"/>
      <c r="J27" s="103" t="str">
        <f t="shared" si="0"/>
        <v>---</v>
      </c>
      <c r="K27" s="85" t="str">
        <f t="shared" si="1"/>
        <v>---</v>
      </c>
    </row>
    <row r="28" spans="3:11" ht="15.75" customHeight="1">
      <c r="C28" s="99"/>
      <c r="D28" s="48"/>
      <c r="E28" s="46">
        <v>4</v>
      </c>
      <c r="F28" s="139">
        <f t="shared" si="2"/>
        <v>0.00556437885032959</v>
      </c>
      <c r="G28" s="141"/>
      <c r="H28" s="26"/>
      <c r="I28" s="26"/>
      <c r="J28" s="103" t="str">
        <f t="shared" si="0"/>
        <v>---</v>
      </c>
      <c r="K28" s="85" t="str">
        <f t="shared" si="1"/>
        <v>---</v>
      </c>
    </row>
    <row r="29" spans="3:11" ht="15.75" customHeight="1">
      <c r="C29" s="100"/>
      <c r="D29" s="49"/>
      <c r="E29" s="50">
        <v>0</v>
      </c>
      <c r="F29" s="142">
        <f t="shared" si="2"/>
        <v>0.5222677604029128</v>
      </c>
      <c r="G29" s="140"/>
      <c r="H29" s="26"/>
      <c r="I29" s="26"/>
      <c r="J29" s="103" t="str">
        <f t="shared" si="0"/>
        <v>---</v>
      </c>
      <c r="K29" s="85" t="str">
        <f t="shared" si="1"/>
        <v>---</v>
      </c>
    </row>
    <row r="30" spans="3:11" ht="15.75" customHeight="1">
      <c r="C30" s="98"/>
      <c r="D30" s="45"/>
      <c r="E30" s="46">
        <v>1</v>
      </c>
      <c r="F30" s="139">
        <f t="shared" si="2"/>
        <v>0.7101535676478969</v>
      </c>
      <c r="G30" s="140"/>
      <c r="H30" s="26"/>
      <c r="I30" s="26"/>
      <c r="J30" s="103" t="str">
        <f t="shared" si="0"/>
        <v>---</v>
      </c>
      <c r="K30" s="85" t="str">
        <f t="shared" si="1"/>
        <v>---</v>
      </c>
    </row>
    <row r="31" spans="3:11" ht="15.75" customHeight="1">
      <c r="C31" s="146" t="s">
        <v>28</v>
      </c>
      <c r="D31" s="47" t="s">
        <v>92</v>
      </c>
      <c r="E31" s="46"/>
      <c r="F31" s="139">
        <f t="shared" si="2"/>
      </c>
      <c r="G31" s="140"/>
      <c r="H31" s="26"/>
      <c r="I31" s="26"/>
      <c r="J31" s="103" t="str">
        <f t="shared" si="0"/>
        <v>---</v>
      </c>
      <c r="K31" s="85" t="str">
        <f t="shared" si="1"/>
        <v>---</v>
      </c>
    </row>
    <row r="32" spans="3:11" ht="15.75" customHeight="1">
      <c r="C32" s="99"/>
      <c r="D32" s="48"/>
      <c r="E32" s="46"/>
      <c r="F32" s="139">
        <f t="shared" si="2"/>
      </c>
      <c r="G32" s="140"/>
      <c r="H32" s="26"/>
      <c r="I32" s="26"/>
      <c r="J32" s="103" t="str">
        <f t="shared" si="0"/>
        <v>---</v>
      </c>
      <c r="K32" s="85" t="str">
        <f t="shared" si="1"/>
        <v>---</v>
      </c>
    </row>
    <row r="33" spans="3:11" ht="15.75" customHeight="1">
      <c r="C33" s="101"/>
      <c r="D33" s="51"/>
      <c r="E33" s="52"/>
      <c r="F33" s="143">
        <f t="shared" si="2"/>
      </c>
      <c r="G33" s="141"/>
      <c r="H33" s="26"/>
      <c r="I33" s="26"/>
      <c r="J33" s="103" t="str">
        <f t="shared" si="0"/>
        <v>---</v>
      </c>
      <c r="K33" s="85" t="str">
        <f t="shared" si="1"/>
        <v>---</v>
      </c>
    </row>
    <row r="34" spans="3:11" ht="15.75" customHeight="1">
      <c r="C34" s="99"/>
      <c r="D34" s="48"/>
      <c r="E34" s="46">
        <v>30</v>
      </c>
      <c r="F34" s="139">
        <f t="shared" si="2"/>
        <v>0.7509807843661779</v>
      </c>
      <c r="G34" s="140"/>
      <c r="H34" s="26"/>
      <c r="I34" s="26"/>
      <c r="J34" s="103" t="str">
        <f t="shared" si="0"/>
        <v>---</v>
      </c>
      <c r="K34" s="85" t="str">
        <f t="shared" si="1"/>
        <v>---</v>
      </c>
    </row>
    <row r="35" spans="3:11" ht="15.75" customHeight="1">
      <c r="C35" s="98"/>
      <c r="D35" s="45"/>
      <c r="E35" s="46">
        <v>40</v>
      </c>
      <c r="F35" s="139">
        <f t="shared" si="2"/>
        <v>0.6162945940137529</v>
      </c>
      <c r="G35" s="140"/>
      <c r="H35" s="26"/>
      <c r="I35" s="26"/>
      <c r="J35" s="103" t="str">
        <f t="shared" si="0"/>
        <v>---</v>
      </c>
      <c r="K35" s="85" t="str">
        <f t="shared" si="1"/>
        <v>---</v>
      </c>
    </row>
    <row r="36" spans="3:11" ht="15.75" customHeight="1">
      <c r="C36" s="146" t="s">
        <v>29</v>
      </c>
      <c r="D36" s="47" t="s">
        <v>90</v>
      </c>
      <c r="E36" s="46">
        <v>50</v>
      </c>
      <c r="F36" s="139">
        <f t="shared" si="2"/>
        <v>0.46104162744001176</v>
      </c>
      <c r="G36" s="140"/>
      <c r="H36" s="26"/>
      <c r="I36" s="26"/>
      <c r="J36" s="103" t="str">
        <f t="shared" si="0"/>
        <v>---</v>
      </c>
      <c r="K36" s="85" t="str">
        <f t="shared" si="1"/>
        <v>---</v>
      </c>
    </row>
    <row r="37" spans="3:11" ht="15.75" customHeight="1">
      <c r="C37" s="99"/>
      <c r="D37" s="48"/>
      <c r="E37" s="46">
        <v>60</v>
      </c>
      <c r="F37" s="139">
        <f t="shared" si="2"/>
        <v>0.31299593629018563</v>
      </c>
      <c r="G37" s="140"/>
      <c r="H37" s="26"/>
      <c r="I37" s="26"/>
      <c r="J37" s="103" t="str">
        <f t="shared" si="0"/>
        <v>---</v>
      </c>
      <c r="K37" s="85" t="str">
        <f t="shared" si="1"/>
        <v>---</v>
      </c>
    </row>
    <row r="38" spans="3:11" ht="15.75" customHeight="1">
      <c r="C38" s="102"/>
      <c r="D38" s="53"/>
      <c r="E38" s="54">
        <v>70</v>
      </c>
      <c r="F38" s="144">
        <f t="shared" si="2"/>
        <v>0.19526585173248942</v>
      </c>
      <c r="G38" s="145"/>
      <c r="H38" s="26"/>
      <c r="I38" s="26"/>
      <c r="J38" s="103" t="str">
        <f t="shared" si="0"/>
        <v>---</v>
      </c>
      <c r="K38" s="85" t="str">
        <f t="shared" si="1"/>
        <v>---</v>
      </c>
    </row>
    <row r="39" spans="1:11" ht="15.75" customHeight="1">
      <c r="A39" s="26"/>
      <c r="C39" s="26"/>
      <c r="D39" s="26"/>
      <c r="E39" s="26"/>
      <c r="F39" s="26"/>
      <c r="G39" s="26"/>
      <c r="H39" s="26"/>
      <c r="I39" s="26"/>
      <c r="J39" s="103" t="str">
        <f t="shared" si="0"/>
        <v>---</v>
      </c>
      <c r="K39" s="85" t="str">
        <f t="shared" si="1"/>
        <v>---</v>
      </c>
    </row>
    <row r="40" spans="1:11" ht="15.75" customHeight="1">
      <c r="A40" s="26"/>
      <c r="C40" s="26"/>
      <c r="D40" s="26"/>
      <c r="E40" s="26"/>
      <c r="F40" s="26"/>
      <c r="G40" s="26"/>
      <c r="H40" s="26"/>
      <c r="I40" s="26"/>
      <c r="J40" s="103" t="str">
        <f t="shared" si="0"/>
        <v>---</v>
      </c>
      <c r="K40" s="85" t="str">
        <f t="shared" si="1"/>
        <v>---</v>
      </c>
    </row>
    <row r="41" spans="1:11" ht="15.75" customHeight="1">
      <c r="A41" s="26"/>
      <c r="C41" s="26"/>
      <c r="D41" s="26"/>
      <c r="E41" s="26"/>
      <c r="F41" s="26"/>
      <c r="G41" s="26"/>
      <c r="H41" s="26"/>
      <c r="I41" s="26"/>
      <c r="J41" s="103" t="str">
        <f t="shared" si="0"/>
        <v>---</v>
      </c>
      <c r="K41" s="85" t="str">
        <f t="shared" si="1"/>
        <v>---</v>
      </c>
    </row>
    <row r="42" spans="1:11" ht="15.75" customHeight="1">
      <c r="A42" s="26"/>
      <c r="C42" s="26"/>
      <c r="D42" s="26"/>
      <c r="E42" s="26"/>
      <c r="F42" s="26"/>
      <c r="G42" s="26"/>
      <c r="H42" s="26"/>
      <c r="I42" s="26"/>
      <c r="J42" s="103" t="str">
        <f t="shared" si="0"/>
        <v>---</v>
      </c>
      <c r="K42" s="85" t="str">
        <f t="shared" si="1"/>
        <v>---</v>
      </c>
    </row>
    <row r="43" spans="1:11" ht="15.75" customHeight="1">
      <c r="A43" s="26"/>
      <c r="C43" s="26"/>
      <c r="D43" s="26"/>
      <c r="E43" s="26"/>
      <c r="F43" s="26"/>
      <c r="G43" s="26"/>
      <c r="H43" s="26"/>
      <c r="I43" s="26"/>
      <c r="J43" s="103" t="str">
        <f t="shared" si="0"/>
        <v>---</v>
      </c>
      <c r="K43" s="85" t="str">
        <f t="shared" si="1"/>
        <v>---</v>
      </c>
    </row>
    <row r="44" spans="1:11" ht="15.75" customHeight="1">
      <c r="A44" s="26"/>
      <c r="C44" s="26"/>
      <c r="D44" s="26"/>
      <c r="E44" s="26"/>
      <c r="F44" s="26"/>
      <c r="G44" s="26"/>
      <c r="H44" s="26"/>
      <c r="I44" s="26"/>
      <c r="J44" s="103" t="str">
        <f t="shared" si="0"/>
        <v>---</v>
      </c>
      <c r="K44" s="85" t="str">
        <f t="shared" si="1"/>
        <v>---</v>
      </c>
    </row>
    <row r="45" spans="1:11" ht="15.75" customHeight="1">
      <c r="A45" s="26"/>
      <c r="B45" s="26"/>
      <c r="C45" s="26"/>
      <c r="D45" s="26"/>
      <c r="E45" s="26"/>
      <c r="F45" s="26"/>
      <c r="G45" s="26"/>
      <c r="H45" s="26"/>
      <c r="I45" s="26"/>
      <c r="J45" s="103" t="str">
        <f t="shared" si="0"/>
        <v>---</v>
      </c>
      <c r="K45" s="85" t="str">
        <f t="shared" si="1"/>
        <v>---</v>
      </c>
    </row>
    <row r="46" spans="1:11" ht="15.75" customHeight="1">
      <c r="A46" s="26"/>
      <c r="B46" s="26"/>
      <c r="C46" s="26"/>
      <c r="D46" s="26"/>
      <c r="E46" s="26"/>
      <c r="F46" s="26"/>
      <c r="G46" s="26"/>
      <c r="H46" s="26"/>
      <c r="I46" s="26"/>
      <c r="J46" s="103" t="str">
        <f t="shared" si="0"/>
        <v>---</v>
      </c>
      <c r="K46" s="85" t="str">
        <f t="shared" si="1"/>
        <v>---</v>
      </c>
    </row>
    <row r="47" spans="1:11" ht="15.75" customHeight="1">
      <c r="A47" s="26"/>
      <c r="B47" s="26"/>
      <c r="C47" s="26"/>
      <c r="D47" s="26"/>
      <c r="E47" s="26"/>
      <c r="F47" s="26"/>
      <c r="G47" s="26"/>
      <c r="H47" s="26"/>
      <c r="I47" s="26"/>
      <c r="J47" s="103" t="str">
        <f t="shared" si="0"/>
        <v>---</v>
      </c>
      <c r="K47" s="85" t="str">
        <f t="shared" si="1"/>
        <v>---</v>
      </c>
    </row>
    <row r="48" spans="1:11" ht="15.75" customHeight="1">
      <c r="A48" s="26"/>
      <c r="B48" s="26"/>
      <c r="C48" s="26"/>
      <c r="D48" s="26"/>
      <c r="E48" s="26"/>
      <c r="F48" s="26"/>
      <c r="G48" s="26"/>
      <c r="H48" s="26"/>
      <c r="I48" s="26"/>
      <c r="J48" s="103" t="str">
        <f t="shared" si="0"/>
        <v>---</v>
      </c>
      <c r="K48" s="85" t="str">
        <f t="shared" si="1"/>
        <v>---</v>
      </c>
    </row>
    <row r="49" spans="1:11" ht="15.75" customHeight="1">
      <c r="A49" s="26"/>
      <c r="B49" s="26"/>
      <c r="C49" s="26"/>
      <c r="D49" s="26"/>
      <c r="E49" s="26"/>
      <c r="F49" s="26"/>
      <c r="G49" s="26"/>
      <c r="H49" s="26"/>
      <c r="I49" s="26"/>
      <c r="J49" s="103" t="str">
        <f t="shared" si="0"/>
        <v>---</v>
      </c>
      <c r="K49" s="85" t="str">
        <f t="shared" si="1"/>
        <v>---</v>
      </c>
    </row>
    <row r="50" spans="1:11" ht="15.75" customHeight="1">
      <c r="A50" s="26"/>
      <c r="B50" s="26"/>
      <c r="C50" s="26"/>
      <c r="D50" s="26"/>
      <c r="E50" s="26"/>
      <c r="F50" s="26"/>
      <c r="G50" s="26"/>
      <c r="H50" s="26"/>
      <c r="I50" s="26"/>
      <c r="J50" s="103" t="str">
        <f t="shared" si="0"/>
        <v>---</v>
      </c>
      <c r="K50" s="85" t="str">
        <f t="shared" si="1"/>
        <v>---</v>
      </c>
    </row>
    <row r="51" spans="1:11" ht="15.75" customHeight="1">
      <c r="A51" s="26"/>
      <c r="B51" s="26"/>
      <c r="C51" s="26"/>
      <c r="D51" s="26"/>
      <c r="E51" s="26"/>
      <c r="F51" s="26"/>
      <c r="G51" s="26"/>
      <c r="H51" s="26"/>
      <c r="I51" s="26"/>
      <c r="J51" s="103" t="str">
        <f t="shared" si="0"/>
        <v>---</v>
      </c>
      <c r="K51" s="85" t="str">
        <f t="shared" si="1"/>
        <v>---</v>
      </c>
    </row>
    <row r="52" spans="1:11" ht="15.75" customHeight="1">
      <c r="A52" s="26"/>
      <c r="B52" s="26"/>
      <c r="C52" s="26"/>
      <c r="D52" s="26"/>
      <c r="E52" s="26"/>
      <c r="F52" s="26"/>
      <c r="G52" s="26"/>
      <c r="H52" s="26"/>
      <c r="I52" s="26"/>
      <c r="J52" s="103" t="str">
        <f t="shared" si="0"/>
        <v>---</v>
      </c>
      <c r="K52" s="85" t="str">
        <f t="shared" si="1"/>
        <v>---</v>
      </c>
    </row>
    <row r="53" spans="1:11" ht="15.75" customHeight="1">
      <c r="A53" s="26"/>
      <c r="B53" s="26"/>
      <c r="C53" s="26"/>
      <c r="D53" s="26"/>
      <c r="E53" s="26"/>
      <c r="F53" s="26"/>
      <c r="G53" s="26"/>
      <c r="H53" s="26"/>
      <c r="I53" s="26"/>
      <c r="J53" s="103" t="str">
        <f t="shared" si="0"/>
        <v>---</v>
      </c>
      <c r="K53" s="85" t="str">
        <f t="shared" si="1"/>
        <v>---</v>
      </c>
    </row>
    <row r="54" spans="1:11" ht="15.75" customHeight="1">
      <c r="A54" s="26"/>
      <c r="B54" s="26"/>
      <c r="C54" s="26"/>
      <c r="D54" s="26"/>
      <c r="E54" s="26"/>
      <c r="F54" s="26"/>
      <c r="G54" s="26"/>
      <c r="H54" s="26"/>
      <c r="I54" s="26"/>
      <c r="J54" s="103" t="str">
        <f t="shared" si="0"/>
        <v>---</v>
      </c>
      <c r="K54" s="85" t="str">
        <f t="shared" si="1"/>
        <v>---</v>
      </c>
    </row>
    <row r="55" spans="1:11" ht="15.75" customHeight="1">
      <c r="A55" s="26"/>
      <c r="B55" s="26"/>
      <c r="C55" s="26"/>
      <c r="D55" s="26"/>
      <c r="E55" s="26"/>
      <c r="F55" s="26"/>
      <c r="G55" s="26"/>
      <c r="H55" s="26"/>
      <c r="I55" s="26"/>
      <c r="J55" s="103" t="str">
        <f t="shared" si="0"/>
        <v>---</v>
      </c>
      <c r="K55" s="85" t="str">
        <f t="shared" si="1"/>
        <v>---</v>
      </c>
    </row>
    <row r="56" spans="1:11" ht="15.75" customHeight="1">
      <c r="A56" s="26"/>
      <c r="B56" s="26"/>
      <c r="C56" s="26"/>
      <c r="D56" s="26"/>
      <c r="E56" s="26"/>
      <c r="F56" s="26"/>
      <c r="G56" s="26"/>
      <c r="H56" s="26"/>
      <c r="I56" s="26"/>
      <c r="J56" s="103" t="str">
        <f t="shared" si="0"/>
        <v>---</v>
      </c>
      <c r="K56" s="85" t="str">
        <f t="shared" si="1"/>
        <v>---</v>
      </c>
    </row>
    <row r="57" spans="1:11" ht="15.75" customHeight="1">
      <c r="A57" s="26"/>
      <c r="B57" s="26"/>
      <c r="C57" s="26"/>
      <c r="D57" s="26"/>
      <c r="E57" s="26"/>
      <c r="F57" s="26"/>
      <c r="G57" s="26"/>
      <c r="H57" s="26"/>
      <c r="I57" s="26"/>
      <c r="J57" s="103" t="str">
        <f t="shared" si="0"/>
        <v>---</v>
      </c>
      <c r="K57" s="85" t="str">
        <f t="shared" si="1"/>
        <v>---</v>
      </c>
    </row>
    <row r="58" spans="1:11" ht="15.75" customHeight="1">
      <c r="A58" s="26"/>
      <c r="B58" s="26"/>
      <c r="C58" s="26"/>
      <c r="D58" s="26"/>
      <c r="E58" s="26"/>
      <c r="F58" s="26"/>
      <c r="G58" s="26"/>
      <c r="H58" s="26"/>
      <c r="I58" s="26"/>
      <c r="J58" s="103" t="str">
        <f t="shared" si="0"/>
        <v>---</v>
      </c>
      <c r="K58" s="85" t="str">
        <f t="shared" si="1"/>
        <v>---</v>
      </c>
    </row>
    <row r="59" spans="1:11" ht="15.75" customHeight="1">
      <c r="A59" s="26"/>
      <c r="B59" s="26"/>
      <c r="C59" s="26"/>
      <c r="D59" s="26"/>
      <c r="E59" s="26"/>
      <c r="F59" s="26"/>
      <c r="G59" s="26"/>
      <c r="H59" s="26"/>
      <c r="I59" s="26"/>
      <c r="J59" s="103" t="str">
        <f t="shared" si="0"/>
        <v>---</v>
      </c>
      <c r="K59" s="85" t="str">
        <f t="shared" si="1"/>
        <v>---</v>
      </c>
    </row>
    <row r="60" spans="1:11" ht="15.75" customHeight="1">
      <c r="A60" s="26"/>
      <c r="B60" s="26"/>
      <c r="C60" s="26"/>
      <c r="D60" s="26"/>
      <c r="E60" s="26"/>
      <c r="F60" s="26"/>
      <c r="G60" s="26"/>
      <c r="H60" s="26"/>
      <c r="I60" s="26"/>
      <c r="J60" s="103" t="str">
        <f t="shared" si="0"/>
        <v>---</v>
      </c>
      <c r="K60" s="85" t="str">
        <f t="shared" si="1"/>
        <v>---</v>
      </c>
    </row>
    <row r="61" spans="10:11" ht="15.75" customHeight="1">
      <c r="J61" s="103" t="str">
        <f t="shared" si="0"/>
        <v>---</v>
      </c>
      <c r="K61" s="85" t="str">
        <f t="shared" si="1"/>
        <v>---</v>
      </c>
    </row>
    <row r="62" spans="10:11" ht="15.75" customHeight="1">
      <c r="J62" s="103" t="str">
        <f t="shared" si="0"/>
        <v>---</v>
      </c>
      <c r="K62" s="85" t="str">
        <f t="shared" si="1"/>
        <v>---</v>
      </c>
    </row>
    <row r="63" spans="10:11" ht="15.75" customHeight="1">
      <c r="J63" s="103" t="str">
        <f t="shared" si="0"/>
        <v>---</v>
      </c>
      <c r="K63" s="85" t="str">
        <f t="shared" si="1"/>
        <v>---</v>
      </c>
    </row>
    <row r="64" spans="10:11" ht="15.75" customHeight="1">
      <c r="J64" s="103" t="str">
        <f t="shared" si="0"/>
        <v>---</v>
      </c>
      <c r="K64" s="85" t="str">
        <f t="shared" si="1"/>
        <v>---</v>
      </c>
    </row>
    <row r="65" spans="10:11" ht="15.75" customHeight="1">
      <c r="J65" s="148" t="str">
        <f t="shared" si="0"/>
        <v>---</v>
      </c>
      <c r="K65" s="87" t="str">
        <f t="shared" si="1"/>
        <v>---</v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C65"/>
  <sheetViews>
    <sheetView showGridLines="0" zoomScale="95" zoomScaleNormal="95" workbookViewId="0" topLeftCell="A1">
      <selection activeCell="D7" sqref="D7"/>
    </sheetView>
  </sheetViews>
  <sheetFormatPr defaultColWidth="9.140625" defaultRowHeight="12.75"/>
  <cols>
    <col min="1" max="1" width="2.57421875" style="36" customWidth="1"/>
    <col min="2" max="2" width="9.140625" style="36" customWidth="1"/>
    <col min="3" max="5" width="10.7109375" style="36" customWidth="1"/>
    <col min="6" max="6" width="6.28125" style="36" customWidth="1"/>
    <col min="7" max="7" width="9.7109375" style="36" customWidth="1"/>
    <col min="8" max="8" width="9.140625" style="181" customWidth="1"/>
    <col min="9" max="19" width="9.140625" style="36" customWidth="1"/>
    <col min="20" max="20" width="12.28125" style="36" customWidth="1"/>
    <col min="21" max="22" width="9.140625" style="36" customWidth="1"/>
    <col min="23" max="28" width="12.7109375" style="36" customWidth="1"/>
    <col min="29" max="29" width="8.8515625" style="36" hidden="1" customWidth="1"/>
    <col min="30" max="16384" width="8.8515625" style="36" customWidth="1"/>
  </cols>
  <sheetData>
    <row r="1" spans="1:29" ht="21.75" customHeight="1">
      <c r="A1" s="26"/>
      <c r="B1" s="196" t="s">
        <v>17</v>
      </c>
      <c r="C1" s="197"/>
      <c r="D1" s="197"/>
      <c r="E1" s="197"/>
      <c r="F1" s="197"/>
      <c r="G1" s="197"/>
      <c r="H1" s="182" t="s">
        <v>129</v>
      </c>
      <c r="I1" s="197"/>
      <c r="J1" s="63"/>
      <c r="K1" s="63"/>
      <c r="L1" s="63"/>
      <c r="M1" s="63"/>
      <c r="N1" s="27"/>
      <c r="O1" s="27"/>
      <c r="P1" s="27"/>
      <c r="AC1" s="240" t="e">
        <v>#N/A</v>
      </c>
    </row>
    <row r="2" spans="1:16" ht="15" customHeight="1">
      <c r="A2" s="26"/>
      <c r="B2" s="63"/>
      <c r="C2" s="64" t="s">
        <v>26</v>
      </c>
      <c r="D2" s="68"/>
      <c r="E2" s="197"/>
      <c r="F2" s="197"/>
      <c r="G2" s="197"/>
      <c r="H2" s="197"/>
      <c r="I2" s="198"/>
      <c r="J2" s="63"/>
      <c r="K2" s="63"/>
      <c r="L2" s="63"/>
      <c r="M2" s="63"/>
      <c r="N2" s="27"/>
      <c r="O2" s="27"/>
      <c r="P2" s="27"/>
    </row>
    <row r="3" spans="1:16" ht="15" customHeight="1">
      <c r="A3" s="26"/>
      <c r="B3" s="63"/>
      <c r="C3" s="67" t="s">
        <v>25</v>
      </c>
      <c r="D3" s="180"/>
      <c r="E3" s="199"/>
      <c r="F3" s="199"/>
      <c r="G3" s="199"/>
      <c r="H3" s="199"/>
      <c r="I3" s="198"/>
      <c r="J3" s="107"/>
      <c r="K3" s="63" t="s">
        <v>141</v>
      </c>
      <c r="L3" s="63"/>
      <c r="M3" s="63"/>
      <c r="N3" s="27"/>
      <c r="O3" s="27"/>
      <c r="P3" s="27"/>
    </row>
    <row r="4" spans="1:16" ht="15" customHeight="1">
      <c r="A4" s="26"/>
      <c r="B4" s="63"/>
      <c r="C4" s="67" t="s">
        <v>142</v>
      </c>
      <c r="D4" s="103"/>
      <c r="E4" s="106"/>
      <c r="F4" s="106"/>
      <c r="G4" s="106"/>
      <c r="H4" s="106"/>
      <c r="I4" s="61"/>
      <c r="J4" s="106"/>
      <c r="K4" s="63"/>
      <c r="L4" s="63"/>
      <c r="M4" s="63"/>
      <c r="N4" s="27"/>
      <c r="O4" s="27"/>
      <c r="P4" s="27"/>
    </row>
    <row r="5" spans="1:16" s="41" customFormat="1" ht="15" customHeight="1">
      <c r="A5" s="31"/>
      <c r="B5" s="31"/>
      <c r="C5" s="10"/>
      <c r="D5" s="31"/>
      <c r="E5" s="31"/>
      <c r="F5" s="31"/>
      <c r="G5" s="31"/>
      <c r="H5" s="184"/>
      <c r="I5" s="31"/>
      <c r="J5" s="184"/>
      <c r="K5" s="31"/>
      <c r="L5" s="31"/>
      <c r="M5" s="31"/>
      <c r="N5" s="31"/>
      <c r="O5" s="31"/>
      <c r="P5" s="31"/>
    </row>
    <row r="6" spans="1:16" ht="24" customHeight="1">
      <c r="A6" s="26"/>
      <c r="B6" s="200" t="s">
        <v>143</v>
      </c>
      <c r="C6" s="201"/>
      <c r="D6" s="63"/>
      <c r="E6" s="106"/>
      <c r="F6" s="37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1:16" ht="15" customHeight="1">
      <c r="A7" s="26"/>
      <c r="B7" s="202" t="s">
        <v>149</v>
      </c>
      <c r="C7" s="203"/>
      <c r="D7" s="185" t="s">
        <v>48</v>
      </c>
      <c r="E7" s="208" t="s">
        <v>31</v>
      </c>
      <c r="F7" s="209"/>
      <c r="G7" s="209"/>
      <c r="H7" s="209"/>
      <c r="I7" s="210"/>
      <c r="P7" s="27"/>
    </row>
    <row r="8" spans="1:16" ht="15" customHeight="1">
      <c r="A8" s="26"/>
      <c r="B8" s="204" t="s">
        <v>150</v>
      </c>
      <c r="C8" s="205"/>
      <c r="D8" s="186">
        <v>0</v>
      </c>
      <c r="E8" s="211" t="s">
        <v>32</v>
      </c>
      <c r="F8" s="212"/>
      <c r="G8" s="212"/>
      <c r="H8" s="212"/>
      <c r="I8" s="213"/>
      <c r="P8" s="27"/>
    </row>
    <row r="9" spans="1:16" ht="15" customHeight="1">
      <c r="A9" s="26"/>
      <c r="B9" s="204" t="s">
        <v>151</v>
      </c>
      <c r="C9" s="205"/>
      <c r="D9" s="186">
        <v>50</v>
      </c>
      <c r="E9" s="211" t="s">
        <v>33</v>
      </c>
      <c r="F9" s="212"/>
      <c r="G9" s="212"/>
      <c r="H9" s="212"/>
      <c r="I9" s="213"/>
      <c r="P9" s="27"/>
    </row>
    <row r="10" spans="1:16" ht="15" customHeight="1">
      <c r="A10" s="26"/>
      <c r="B10" s="206" t="s">
        <v>152</v>
      </c>
      <c r="C10" s="207"/>
      <c r="D10" s="187">
        <v>11</v>
      </c>
      <c r="E10" s="214" t="s">
        <v>34</v>
      </c>
      <c r="F10" s="215"/>
      <c r="G10" s="215"/>
      <c r="H10" s="215"/>
      <c r="I10" s="216"/>
      <c r="P10" s="27"/>
    </row>
    <row r="11" spans="1:12" ht="1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28" ht="24" customHeight="1" thickBot="1">
      <c r="A12" s="26"/>
      <c r="B12" s="227" t="s">
        <v>144</v>
      </c>
      <c r="C12" s="27"/>
      <c r="D12" s="27"/>
      <c r="E12" s="27"/>
      <c r="G12" s="227" t="s">
        <v>78</v>
      </c>
      <c r="J12" s="26"/>
      <c r="K12" s="26"/>
      <c r="S12" s="79" t="s">
        <v>63</v>
      </c>
      <c r="T12" s="84"/>
      <c r="U12" s="26"/>
      <c r="V12" s="79" t="s">
        <v>148</v>
      </c>
      <c r="W12" s="84"/>
      <c r="X12" s="84"/>
      <c r="Y12" s="84"/>
      <c r="Z12" s="84"/>
      <c r="AA12" s="84"/>
      <c r="AB12" s="84"/>
    </row>
    <row r="13" spans="1:28" ht="18" customHeight="1" thickTop="1">
      <c r="A13" s="26"/>
      <c r="B13" s="217"/>
      <c r="C13" s="218"/>
      <c r="D13" s="218" t="s">
        <v>19</v>
      </c>
      <c r="E13" s="219" t="s">
        <v>72</v>
      </c>
      <c r="G13" s="26"/>
      <c r="H13" s="26"/>
      <c r="I13" s="26"/>
      <c r="J13" s="26"/>
      <c r="K13" s="26"/>
      <c r="L13" s="26"/>
      <c r="S13" s="61"/>
      <c r="T13" s="61"/>
      <c r="U13" s="26"/>
      <c r="V13" s="61" t="s">
        <v>35</v>
      </c>
      <c r="W13" s="231" t="s">
        <v>64</v>
      </c>
      <c r="X13" s="231" t="s">
        <v>65</v>
      </c>
      <c r="Y13" s="231" t="s">
        <v>66</v>
      </c>
      <c r="Z13" s="231" t="s">
        <v>67</v>
      </c>
      <c r="AA13" s="231" t="s">
        <v>68</v>
      </c>
      <c r="AB13" s="231" t="s">
        <v>69</v>
      </c>
    </row>
    <row r="14" spans="1:28" ht="18" customHeight="1">
      <c r="A14" s="26"/>
      <c r="B14" s="220" t="s">
        <v>70</v>
      </c>
      <c r="C14" s="221" t="s">
        <v>2</v>
      </c>
      <c r="D14" s="221" t="s">
        <v>71</v>
      </c>
      <c r="E14" s="222" t="s">
        <v>73</v>
      </c>
      <c r="G14" s="26"/>
      <c r="H14" s="26"/>
      <c r="I14" s="26"/>
      <c r="J14" s="26"/>
      <c r="K14" s="26"/>
      <c r="L14" s="26"/>
      <c r="S14" s="74" t="s">
        <v>146</v>
      </c>
      <c r="T14" s="183" t="s">
        <v>15</v>
      </c>
      <c r="U14" s="26"/>
      <c r="V14" s="232"/>
      <c r="W14" s="233" t="str">
        <f>IF(E16="","",E16)</f>
        <v>Age 30</v>
      </c>
      <c r="X14" s="233" t="str">
        <f>IF(E17="","",E17)</f>
        <v>Age 40</v>
      </c>
      <c r="Y14" s="233" t="str">
        <f>IF(E18="","",E18)</f>
        <v>Age 50</v>
      </c>
      <c r="Z14" s="233" t="str">
        <f>IF(E19="","",E19)</f>
        <v>Age 60</v>
      </c>
      <c r="AA14" s="233" t="str">
        <f>IF(E20="","",E20)</f>
        <v>drop</v>
      </c>
      <c r="AB14" s="233" t="str">
        <f>IF(E21="","",E21)</f>
        <v>drop</v>
      </c>
    </row>
    <row r="15" spans="1:28" ht="6" customHeight="1">
      <c r="A15" s="26"/>
      <c r="B15" s="223"/>
      <c r="C15" s="188"/>
      <c r="D15" s="188"/>
      <c r="E15" s="189"/>
      <c r="S15" s="228"/>
      <c r="T15" s="228"/>
      <c r="U15" s="26"/>
      <c r="V15" s="234"/>
      <c r="W15" s="235"/>
      <c r="X15" s="235"/>
      <c r="Y15" s="235"/>
      <c r="Z15" s="235"/>
      <c r="AA15" s="235"/>
      <c r="AB15" s="235"/>
    </row>
    <row r="16" spans="1:28" ht="12" customHeight="1">
      <c r="A16" s="26"/>
      <c r="B16" s="224" t="s">
        <v>64</v>
      </c>
      <c r="C16" s="190" t="s">
        <v>44</v>
      </c>
      <c r="D16" s="190">
        <v>30</v>
      </c>
      <c r="E16" s="191" t="s">
        <v>74</v>
      </c>
      <c r="S16" s="229" t="str">
        <f>RHV</f>
        <v>K5</v>
      </c>
      <c r="T16" s="85">
        <f>Bval</f>
        <v>0.24</v>
      </c>
      <c r="U16" s="27"/>
      <c r="V16" s="236">
        <f>IF(Tech!E16="",$AC$1,Tech!E16)</f>
        <v>0</v>
      </c>
      <c r="W16" s="237">
        <f>IF(Tech!F16="","",CDF(Tech!F16))</f>
        <v>0.8567150424713353</v>
      </c>
      <c r="X16" s="237">
        <f>IF(Tech!G16="","",CDF(Tech!G16))</f>
        <v>0.7610182227206744</v>
      </c>
      <c r="Y16" s="237">
        <f>IF(Tech!H16="","",CDF(Tech!H16))</f>
        <v>0.629079526628575</v>
      </c>
      <c r="Z16" s="237">
        <f>IF(Tech!I16="","",CDF(Tech!I16))</f>
        <v>0.4745894107217165</v>
      </c>
      <c r="AA16" s="237">
        <f>IF(Tech!J16="","",CDF(Tech!J16))</f>
        <v>0.32481520569283995</v>
      </c>
      <c r="AB16" s="237">
        <f>IF(Tech!K16="","",CDF(Tech!K16))</f>
      </c>
    </row>
    <row r="17" spans="1:28" ht="18" customHeight="1">
      <c r="A17" s="26"/>
      <c r="B17" s="225" t="s">
        <v>65</v>
      </c>
      <c r="C17" s="186" t="s">
        <v>44</v>
      </c>
      <c r="D17" s="186">
        <v>40</v>
      </c>
      <c r="E17" s="194" t="s">
        <v>75</v>
      </c>
      <c r="S17" s="229" t="str">
        <f>IF(RHV="","---",RHV)</f>
        <v>K618</v>
      </c>
      <c r="T17" s="85">
        <f>IF(Bval="","---",+Bval)</f>
        <v>1.35</v>
      </c>
      <c r="U17" s="27"/>
      <c r="V17" s="236">
        <f>IF(Tech!E17="",$AC$1,Tech!E17)</f>
        <v>5</v>
      </c>
      <c r="W17" s="237">
        <f>IF(Tech!F17="","",CDF(Tech!F17))</f>
        <v>0.8345564034572523</v>
      </c>
      <c r="X17" s="237">
        <f>IF(Tech!G17="","",CDF(Tech!G17))</f>
        <v>0.7287460795624796</v>
      </c>
      <c r="Y17" s="237">
        <f>IF(Tech!H17="","",CDF(Tech!H17))</f>
        <v>0.5886215854277994</v>
      </c>
      <c r="Z17" s="237">
        <f>IF(Tech!I17="","",CDF(Tech!I17))</f>
        <v>0.4324824319535735</v>
      </c>
      <c r="AA17" s="237">
        <f>IF(Tech!J17="","",CDF(Tech!J17))</f>
        <v>0.2886951116273429</v>
      </c>
      <c r="AB17" s="237">
        <f>IF(Tech!K17="","",CDF(Tech!K17))</f>
      </c>
    </row>
    <row r="18" spans="1:28" ht="18" customHeight="1">
      <c r="A18" s="26"/>
      <c r="B18" s="225" t="s">
        <v>66</v>
      </c>
      <c r="C18" s="186" t="s">
        <v>44</v>
      </c>
      <c r="D18" s="186">
        <v>50</v>
      </c>
      <c r="E18" s="194" t="s">
        <v>76</v>
      </c>
      <c r="S18" s="229" t="str">
        <f aca="true" t="shared" si="0" ref="S18:S65">IF(RHV="","---",RHV)</f>
        <v>Age</v>
      </c>
      <c r="T18" s="85">
        <f aca="true" t="shared" si="1" ref="T18:T65">IF(Bval="","---",+Bval)</f>
        <v>42.52</v>
      </c>
      <c r="U18" s="27"/>
      <c r="V18" s="236">
        <f>IF(Tech!E18="",$AC$1,Tech!E18)</f>
        <v>10</v>
      </c>
      <c r="W18" s="237">
        <f>IF(Tech!F18="","",CDF(Tech!F18))</f>
        <v>0.8097320425063954</v>
      </c>
      <c r="X18" s="237">
        <f>IF(Tech!G18="","",CDF(Tech!G18))</f>
        <v>0.6938689857755572</v>
      </c>
      <c r="Y18" s="237">
        <f>IF(Tech!H18="","",CDF(Tech!H18))</f>
        <v>0.5469289630779695</v>
      </c>
      <c r="Z18" s="237">
        <f>IF(Tech!I18="","",CDF(Tech!I18))</f>
        <v>0.391328822177218</v>
      </c>
      <c r="AA18" s="237">
        <f>IF(Tech!J18="","",CDF(Tech!J18))</f>
        <v>0.25507422524870593</v>
      </c>
      <c r="AB18" s="237">
        <f>IF(Tech!K18="","",CDF(Tech!K18))</f>
      </c>
    </row>
    <row r="19" spans="1:28" ht="18" customHeight="1">
      <c r="A19" s="26"/>
      <c r="B19" s="225" t="s">
        <v>67</v>
      </c>
      <c r="C19" s="186" t="s">
        <v>44</v>
      </c>
      <c r="D19" s="186">
        <v>60</v>
      </c>
      <c r="E19" s="194" t="s">
        <v>77</v>
      </c>
      <c r="S19" s="229" t="str">
        <f t="shared" si="0"/>
        <v>WC</v>
      </c>
      <c r="T19" s="85">
        <f t="shared" si="1"/>
        <v>0.28</v>
      </c>
      <c r="U19" s="27"/>
      <c r="V19" s="236">
        <f>IF(Tech!E19="",$AC$1,Tech!E19)</f>
        <v>15</v>
      </c>
      <c r="W19" s="237">
        <f>IF(Tech!F19="","",CDF(Tech!F19))</f>
        <v>0.7821551482558721</v>
      </c>
      <c r="X19" s="237">
        <f>IF(Tech!G19="","",CDF(Tech!G19))</f>
        <v>0.6566205053011</v>
      </c>
      <c r="Y19" s="237">
        <f>IF(Tech!H19="","",CDF(Tech!H19))</f>
        <v>0.5045673729543182</v>
      </c>
      <c r="Z19" s="237">
        <f>IF(Tech!I19="","",CDF(Tech!I19))</f>
        <v>0.3516646626061586</v>
      </c>
      <c r="AA19" s="237">
        <f>IF(Tech!J19="","",CDF(Tech!J19))</f>
        <v>0.2241349977546236</v>
      </c>
      <c r="AB19" s="237">
        <f>IF(Tech!K19="","",CDF(Tech!K19))</f>
      </c>
    </row>
    <row r="20" spans="1:28" ht="18" customHeight="1">
      <c r="A20" s="26"/>
      <c r="B20" s="225" t="s">
        <v>68</v>
      </c>
      <c r="C20" s="186" t="s">
        <v>44</v>
      </c>
      <c r="D20" s="186">
        <v>70</v>
      </c>
      <c r="E20" s="194" t="s">
        <v>145</v>
      </c>
      <c r="S20" s="229" t="str">
        <f t="shared" si="0"/>
        <v>HC</v>
      </c>
      <c r="T20" s="85">
        <f t="shared" si="1"/>
        <v>0.39</v>
      </c>
      <c r="U20" s="27"/>
      <c r="V20" s="236">
        <f>IF(Tech!E20="",$AC$1,Tech!E20)</f>
        <v>20</v>
      </c>
      <c r="W20" s="237">
        <f>IF(Tech!F20="","",CDF(Tech!F20))</f>
        <v>0.75180644530213</v>
      </c>
      <c r="X20" s="237">
        <f>IF(Tech!G20="","",CDF(Tech!G20))</f>
        <v>0.6173392773305781</v>
      </c>
      <c r="Y20" s="237">
        <f>IF(Tech!H20="","",CDF(Tech!H20))</f>
        <v>0.46214010632914726</v>
      </c>
      <c r="Z20" s="237">
        <f>IF(Tech!I20="","",CDF(Tech!I20))</f>
        <v>0.3139471512781875</v>
      </c>
      <c r="AA20" s="237">
        <f>IF(Tech!J20="","",CDF(Tech!J20))</f>
        <v>0.19596133333878832</v>
      </c>
      <c r="AB20" s="237">
        <f>IF(Tech!K20="","",CDF(Tech!K20))</f>
      </c>
    </row>
    <row r="21" spans="1:28" ht="18" customHeight="1">
      <c r="A21" s="26"/>
      <c r="B21" s="226" t="s">
        <v>69</v>
      </c>
      <c r="C21" s="187"/>
      <c r="D21" s="187"/>
      <c r="E21" s="195" t="s">
        <v>145</v>
      </c>
      <c r="S21" s="229" t="str">
        <f t="shared" si="0"/>
        <v>Lwg</v>
      </c>
      <c r="T21" s="85">
        <f t="shared" si="1"/>
        <v>1.1</v>
      </c>
      <c r="U21" s="27"/>
      <c r="V21" s="236">
        <f>IF(Tech!E21="",$AC$1,Tech!E21)</f>
        <v>25</v>
      </c>
      <c r="W21" s="237">
        <f>IF(Tech!F21="","",CDF(Tech!F21))</f>
        <v>0.7187500730578688</v>
      </c>
      <c r="X21" s="237">
        <f>IF(Tech!G21="","",CDF(Tech!G21))</f>
        <v>0.5764629316867513</v>
      </c>
      <c r="Y21" s="237">
        <f>IF(Tech!H21="","",CDF(Tech!H21))</f>
        <v>0.42025419154993815</v>
      </c>
      <c r="Z21" s="237">
        <f>IF(Tech!I21="","",CDF(Tech!I21))</f>
        <v>0.27853703812635267</v>
      </c>
      <c r="AA21" s="237">
        <f>IF(Tech!J21="","",CDF(Tech!J21))</f>
        <v>0.17055061135647978</v>
      </c>
      <c r="AB21" s="237">
        <f>IF(Tech!K21="","",CDF(Tech!K21))</f>
      </c>
    </row>
    <row r="22" spans="1:28" ht="18" customHeight="1">
      <c r="A22" s="26"/>
      <c r="B22" s="26"/>
      <c r="C22" s="26"/>
      <c r="D22" s="26"/>
      <c r="S22" s="229" t="str">
        <f t="shared" si="0"/>
        <v>Inc</v>
      </c>
      <c r="T22" s="85">
        <f t="shared" si="1"/>
        <v>20.13</v>
      </c>
      <c r="U22" s="27"/>
      <c r="V22" s="236">
        <f>IF(Tech!E22="",$AC$1,Tech!E22)</f>
        <v>30</v>
      </c>
      <c r="W22" s="237">
        <f>IF(Tech!F22="","",CDF(Tech!F22))</f>
        <v>0.683146541234975</v>
      </c>
      <c r="X22" s="237">
        <f>IF(Tech!G22="","",CDF(Tech!G22))</f>
        <v>0.5345125315927961</v>
      </c>
      <c r="Y22" s="237">
        <f>IF(Tech!H22="","",CDF(Tech!H22))</f>
        <v>0.3794861086323577</v>
      </c>
      <c r="Z22" s="237">
        <f>IF(Tech!I22="","",CDF(Tech!I22))</f>
        <v>0.24569052733527053</v>
      </c>
      <c r="AA22" s="237">
        <f>IF(Tech!J22="","",CDF(Tech!J22))</f>
        <v>0.1478291273050489</v>
      </c>
      <c r="AB22" s="237">
        <f>IF(Tech!K22="","",CDF(Tech!K22))</f>
      </c>
    </row>
    <row r="23" spans="1:28" ht="18" customHeight="1">
      <c r="A23" s="26"/>
      <c r="B23" s="26"/>
      <c r="C23" s="26"/>
      <c r="D23" s="26"/>
      <c r="S23" s="229" t="str">
        <f t="shared" si="0"/>
        <v>---</v>
      </c>
      <c r="T23" s="85" t="str">
        <f t="shared" si="1"/>
        <v>---</v>
      </c>
      <c r="U23" s="27"/>
      <c r="V23" s="236">
        <f>IF(Tech!E23="",$AC$1,Tech!E23)</f>
        <v>35</v>
      </c>
      <c r="W23" s="237">
        <f>IF(Tech!F23="","",CDF(Tech!F23))</f>
        <v>0.6452604098284295</v>
      </c>
      <c r="X23" s="237">
        <f>IF(Tech!G23="","",CDF(Tech!G23))</f>
        <v>0.4920681654650582</v>
      </c>
      <c r="Y23" s="237">
        <f>IF(Tech!H23="","",CDF(Tech!H23))</f>
        <v>0.34035109818629844</v>
      </c>
      <c r="Z23" s="237">
        <f>IF(Tech!I23="","",CDF(Tech!I23))</f>
        <v>0.21556013431930968</v>
      </c>
      <c r="AA23" s="237">
        <f>IF(Tech!J23="","",CDF(Tech!J23))</f>
        <v>0.12766877302130536</v>
      </c>
      <c r="AB23" s="237">
        <f>IF(Tech!K23="","",CDF(Tech!K23))</f>
      </c>
    </row>
    <row r="24" spans="1:28" ht="18" customHeight="1">
      <c r="A24" s="26"/>
      <c r="B24" s="26"/>
      <c r="C24" s="26"/>
      <c r="D24" s="26"/>
      <c r="S24" s="229" t="str">
        <f t="shared" si="0"/>
        <v>---</v>
      </c>
      <c r="T24" s="85" t="str">
        <f t="shared" si="1"/>
        <v>---</v>
      </c>
      <c r="U24" s="27"/>
      <c r="V24" s="236">
        <f>IF(Tech!E24="",$AC$1,Tech!E24)</f>
        <v>40</v>
      </c>
      <c r="W24" s="237">
        <f>IF(Tech!F24="","",CDF(Tech!F24))</f>
        <v>0.6054604848297501</v>
      </c>
      <c r="X24" s="237">
        <f>IF(Tech!G24="","",CDF(Tech!G24))</f>
        <v>0.4497378360369714</v>
      </c>
      <c r="Y24" s="237">
        <f>IF(Tech!H24="","",CDF(Tech!H24))</f>
        <v>0.3032793950821605</v>
      </c>
      <c r="Z24" s="237">
        <f>IF(Tech!I24="","",CDF(Tech!I24))</f>
        <v>0.18820286881985937</v>
      </c>
      <c r="AA24" s="237">
        <f>IF(Tech!J24="","",CDF(Tech!J24))</f>
        <v>0.10990322372162248</v>
      </c>
      <c r="AB24" s="237">
        <f>IF(Tech!K24="","",CDF(Tech!K24))</f>
      </c>
    </row>
    <row r="25" spans="1:28" ht="18" customHeight="1">
      <c r="A25" s="26"/>
      <c r="B25" s="26"/>
      <c r="C25" s="26"/>
      <c r="D25" s="26"/>
      <c r="S25" s="229" t="str">
        <f t="shared" si="0"/>
        <v>---</v>
      </c>
      <c r="T25" s="85" t="str">
        <f t="shared" si="1"/>
        <v>---</v>
      </c>
      <c r="U25" s="27"/>
      <c r="V25" s="236">
        <f>IF(Tech!E25="",$AC$1,Tech!E25)</f>
        <v>45</v>
      </c>
      <c r="W25" s="237">
        <f>IF(Tech!F25="","",CDF(Tech!F25))</f>
        <v>0.5642109720303939</v>
      </c>
      <c r="X25" s="237">
        <f>IF(Tech!G25="","",CDF(Tech!G25))</f>
        <v>0.4081230588116093</v>
      </c>
      <c r="Y25" s="237">
        <f>IF(Tech!H25="","",CDF(Tech!H25))</f>
        <v>0.26860141872000215</v>
      </c>
      <c r="Z25" s="237">
        <f>IF(Tech!I25="","",CDF(Tech!I25))</f>
        <v>0.16359350637597014</v>
      </c>
      <c r="AA25" s="237">
        <f>IF(Tech!J25="","",CDF(Tech!J25))</f>
        <v>0.09434245060176844</v>
      </c>
      <c r="AB25" s="237">
        <f>IF(Tech!K25="","",CDF(Tech!K25))</f>
      </c>
    </row>
    <row r="26" spans="1:28" ht="18" customHeight="1">
      <c r="A26" s="26"/>
      <c r="B26" s="26"/>
      <c r="C26" s="26"/>
      <c r="D26" s="26"/>
      <c r="S26" s="229" t="str">
        <f t="shared" si="0"/>
        <v>---</v>
      </c>
      <c r="T26" s="85" t="str">
        <f t="shared" si="1"/>
        <v>---</v>
      </c>
      <c r="U26" s="27"/>
      <c r="V26" s="236">
        <f>IF(Tech!E26="",$AC$1,Tech!E26)</f>
        <v>50</v>
      </c>
      <c r="W26" s="237">
        <f>IF(Tech!F26="","",CDF(Tech!F26))</f>
        <v>0.5220531827406288</v>
      </c>
      <c r="X26" s="237">
        <f>IF(Tech!G26="","",CDF(Tech!G26))</f>
        <v>0.3677852320226815</v>
      </c>
      <c r="Y26" s="237">
        <f>IF(Tech!H26="","",CDF(Tech!H26))</f>
        <v>0.2365424210104666</v>
      </c>
      <c r="Z26" s="237">
        <f>IF(Tech!I26="","",CDF(Tech!I26))</f>
        <v>0.14164060359561348</v>
      </c>
      <c r="AA26" s="237">
        <f>IF(Tech!J26="","",CDF(Tech!J26))</f>
        <v>0.08078490644961075</v>
      </c>
      <c r="AB26" s="237">
        <f>IF(Tech!K26="","",CDF(Tech!K26))</f>
      </c>
    </row>
    <row r="27" spans="1:28" ht="18" customHeight="1">
      <c r="A27" s="26"/>
      <c r="B27" s="26"/>
      <c r="C27" s="26"/>
      <c r="D27" s="26"/>
      <c r="S27" s="229" t="str">
        <f t="shared" si="0"/>
        <v>---</v>
      </c>
      <c r="T27" s="85" t="str">
        <f t="shared" si="1"/>
        <v>---</v>
      </c>
      <c r="U27" s="27"/>
      <c r="V27" s="236" t="e">
        <f>IF(Tech!E27="",$AC$1,Tech!E27)</f>
        <v>#N/A</v>
      </c>
      <c r="W27" s="237">
        <f>IF(Tech!F27="","",CDF(Tech!F27))</f>
      </c>
      <c r="X27" s="237">
        <f>IF(Tech!G27="","",CDF(Tech!G27))</f>
      </c>
      <c r="Y27" s="237">
        <f>IF(Tech!H27="","",CDF(Tech!H27))</f>
      </c>
      <c r="Z27" s="237">
        <f>IF(Tech!I27="","",CDF(Tech!I27))</f>
      </c>
      <c r="AA27" s="237">
        <f>IF(Tech!J27="","",CDF(Tech!J27))</f>
      </c>
      <c r="AB27" s="237">
        <f>IF(Tech!K27="","",CDF(Tech!K27))</f>
      </c>
    </row>
    <row r="28" spans="1:28" ht="18" customHeight="1">
      <c r="A28" s="26"/>
      <c r="B28" s="26"/>
      <c r="C28" s="26"/>
      <c r="D28" s="26"/>
      <c r="S28" s="229" t="str">
        <f t="shared" si="0"/>
        <v>---</v>
      </c>
      <c r="T28" s="85" t="str">
        <f t="shared" si="1"/>
        <v>---</v>
      </c>
      <c r="U28" s="27"/>
      <c r="V28" s="236" t="e">
        <f>IF(Tech!E28="",$AC$1,Tech!E28)</f>
        <v>#N/A</v>
      </c>
      <c r="W28" s="237">
        <f>IF(Tech!F28="","",CDF(Tech!F28))</f>
      </c>
      <c r="X28" s="237">
        <f>IF(Tech!G28="","",CDF(Tech!G28))</f>
      </c>
      <c r="Y28" s="237">
        <f>IF(Tech!H28="","",CDF(Tech!H28))</f>
      </c>
      <c r="Z28" s="237">
        <f>IF(Tech!I28="","",CDF(Tech!I28))</f>
      </c>
      <c r="AA28" s="237">
        <f>IF(Tech!J28="","",CDF(Tech!J28))</f>
      </c>
      <c r="AB28" s="237">
        <f>IF(Tech!K28="","",CDF(Tech!K28))</f>
      </c>
    </row>
    <row r="29" spans="1:28" ht="18" customHeight="1">
      <c r="A29" s="26"/>
      <c r="B29" s="26"/>
      <c r="C29" s="26"/>
      <c r="D29" s="26"/>
      <c r="S29" s="229" t="str">
        <f t="shared" si="0"/>
        <v>---</v>
      </c>
      <c r="T29" s="85" t="str">
        <f t="shared" si="1"/>
        <v>---</v>
      </c>
      <c r="U29" s="27"/>
      <c r="V29" s="236" t="e">
        <f>IF(Tech!E29="",$AC$1,Tech!E29)</f>
        <v>#N/A</v>
      </c>
      <c r="W29" s="237">
        <f>IF(Tech!F29="","",CDF(Tech!F29))</f>
      </c>
      <c r="X29" s="237">
        <f>IF(Tech!G29="","",CDF(Tech!G29))</f>
      </c>
      <c r="Y29" s="237">
        <f>IF(Tech!H29="","",CDF(Tech!H29))</f>
      </c>
      <c r="Z29" s="237">
        <f>IF(Tech!I29="","",CDF(Tech!I29))</f>
      </c>
      <c r="AA29" s="237">
        <f>IF(Tech!J29="","",CDF(Tech!J29))</f>
      </c>
      <c r="AB29" s="237">
        <f>IF(Tech!K29="","",CDF(Tech!K29))</f>
      </c>
    </row>
    <row r="30" spans="1:28" ht="18" customHeight="1">
      <c r="A30" s="26"/>
      <c r="B30" s="26"/>
      <c r="C30" s="26"/>
      <c r="D30" s="26"/>
      <c r="S30" s="229" t="str">
        <f t="shared" si="0"/>
        <v>---</v>
      </c>
      <c r="T30" s="85" t="str">
        <f t="shared" si="1"/>
        <v>---</v>
      </c>
      <c r="U30" s="27"/>
      <c r="V30" s="236" t="e">
        <f>IF(Tech!E30="",$AC$1,Tech!E30)</f>
        <v>#N/A</v>
      </c>
      <c r="W30" s="237">
        <f>IF(Tech!F30="","",CDF(Tech!F30))</f>
      </c>
      <c r="X30" s="237">
        <f>IF(Tech!G30="","",CDF(Tech!G30))</f>
      </c>
      <c r="Y30" s="237">
        <f>IF(Tech!H30="","",CDF(Tech!H30))</f>
      </c>
      <c r="Z30" s="237">
        <f>IF(Tech!I30="","",CDF(Tech!I30))</f>
      </c>
      <c r="AA30" s="237">
        <f>IF(Tech!J30="","",CDF(Tech!J30))</f>
      </c>
      <c r="AB30" s="237">
        <f>IF(Tech!K30="","",CDF(Tech!K30))</f>
      </c>
    </row>
    <row r="31" spans="1:28" ht="18" customHeight="1">
      <c r="A31" s="26"/>
      <c r="B31" s="26"/>
      <c r="C31" s="26"/>
      <c r="D31" s="26"/>
      <c r="S31" s="229" t="str">
        <f t="shared" si="0"/>
        <v>---</v>
      </c>
      <c r="T31" s="85" t="str">
        <f t="shared" si="1"/>
        <v>---</v>
      </c>
      <c r="U31" s="27"/>
      <c r="V31" s="236" t="e">
        <f>IF(Tech!E31="",$AC$1,Tech!E31)</f>
        <v>#N/A</v>
      </c>
      <c r="W31" s="237">
        <f>IF(Tech!F31="","",CDF(Tech!F31))</f>
      </c>
      <c r="X31" s="237">
        <f>IF(Tech!G31="","",CDF(Tech!G31))</f>
      </c>
      <c r="Y31" s="237">
        <f>IF(Tech!H31="","",CDF(Tech!H31))</f>
      </c>
      <c r="Z31" s="237">
        <f>IF(Tech!I31="","",CDF(Tech!I31))</f>
      </c>
      <c r="AA31" s="237">
        <f>IF(Tech!J31="","",CDF(Tech!J31))</f>
      </c>
      <c r="AB31" s="237">
        <f>IF(Tech!K31="","",CDF(Tech!K31))</f>
      </c>
    </row>
    <row r="32" spans="1:28" ht="18" customHeight="1">
      <c r="A32" s="26"/>
      <c r="B32" s="26"/>
      <c r="C32" s="26"/>
      <c r="D32" s="26"/>
      <c r="S32" s="229" t="str">
        <f t="shared" si="0"/>
        <v>---</v>
      </c>
      <c r="T32" s="85" t="str">
        <f t="shared" si="1"/>
        <v>---</v>
      </c>
      <c r="U32" s="27"/>
      <c r="V32" s="236" t="e">
        <f>IF(Tech!E32="",$AC$1,Tech!E32)</f>
        <v>#N/A</v>
      </c>
      <c r="W32" s="237">
        <f>IF(Tech!F32="","",CDF(Tech!F32))</f>
      </c>
      <c r="X32" s="237">
        <f>IF(Tech!G32="","",CDF(Tech!G32))</f>
      </c>
      <c r="Y32" s="237">
        <f>IF(Tech!H32="","",CDF(Tech!H32))</f>
      </c>
      <c r="Z32" s="237">
        <f>IF(Tech!I32="","",CDF(Tech!I32))</f>
      </c>
      <c r="AA32" s="237">
        <f>IF(Tech!J32="","",CDF(Tech!J32))</f>
      </c>
      <c r="AB32" s="237">
        <f>IF(Tech!K32="","",CDF(Tech!K32))</f>
      </c>
    </row>
    <row r="33" spans="1:28" ht="18" customHeight="1">
      <c r="A33" s="26"/>
      <c r="B33" s="26"/>
      <c r="C33" s="26"/>
      <c r="D33" s="26"/>
      <c r="S33" s="229" t="str">
        <f t="shared" si="0"/>
        <v>---</v>
      </c>
      <c r="T33" s="85" t="str">
        <f t="shared" si="1"/>
        <v>---</v>
      </c>
      <c r="U33" s="27"/>
      <c r="V33" s="236" t="e">
        <f>IF(Tech!E33="",$AC$1,Tech!E33)</f>
        <v>#N/A</v>
      </c>
      <c r="W33" s="237">
        <f>IF(Tech!F33="","",CDF(Tech!F33))</f>
      </c>
      <c r="X33" s="237">
        <f>IF(Tech!G33="","",CDF(Tech!G33))</f>
      </c>
      <c r="Y33" s="237">
        <f>IF(Tech!H33="","",CDF(Tech!H33))</f>
      </c>
      <c r="Z33" s="237">
        <f>IF(Tech!I33="","",CDF(Tech!I33))</f>
      </c>
      <c r="AA33" s="237">
        <f>IF(Tech!J33="","",CDF(Tech!J33))</f>
      </c>
      <c r="AB33" s="237">
        <f>IF(Tech!K33="","",CDF(Tech!K33))</f>
      </c>
    </row>
    <row r="34" spans="1:28" ht="18" customHeight="1">
      <c r="A34" s="26"/>
      <c r="B34" s="26"/>
      <c r="C34" s="26"/>
      <c r="D34" s="26"/>
      <c r="S34" s="229" t="str">
        <f t="shared" si="0"/>
        <v>---</v>
      </c>
      <c r="T34" s="85" t="str">
        <f t="shared" si="1"/>
        <v>---</v>
      </c>
      <c r="U34" s="27"/>
      <c r="V34" s="236" t="e">
        <f>IF(Tech!E34="",$AC$1,Tech!E34)</f>
        <v>#N/A</v>
      </c>
      <c r="W34" s="237">
        <f>IF(Tech!F34="","",CDF(Tech!F34))</f>
      </c>
      <c r="X34" s="237">
        <f>IF(Tech!G34="","",CDF(Tech!G34))</f>
      </c>
      <c r="Y34" s="237">
        <f>IF(Tech!H34="","",CDF(Tech!H34))</f>
      </c>
      <c r="Z34" s="237">
        <f>IF(Tech!I34="","",CDF(Tech!I34))</f>
      </c>
      <c r="AA34" s="237">
        <f>IF(Tech!J34="","",CDF(Tech!J34))</f>
      </c>
      <c r="AB34" s="237">
        <f>IF(Tech!K34="","",CDF(Tech!K34))</f>
      </c>
    </row>
    <row r="35" spans="1:28" ht="18" customHeight="1">
      <c r="A35" s="26"/>
      <c r="B35" s="26"/>
      <c r="C35" s="26"/>
      <c r="D35" s="26"/>
      <c r="S35" s="229" t="str">
        <f t="shared" si="0"/>
        <v>---</v>
      </c>
      <c r="T35" s="85" t="str">
        <f t="shared" si="1"/>
        <v>---</v>
      </c>
      <c r="U35" s="27"/>
      <c r="V35" s="238" t="e">
        <f>IF(Tech!E35="",$AC$1,Tech!E35)</f>
        <v>#N/A</v>
      </c>
      <c r="W35" s="239">
        <f>IF(Tech!F35="","",CDF(Tech!F35))</f>
      </c>
      <c r="X35" s="239">
        <f>IF(Tech!G35="","",CDF(Tech!G35))</f>
      </c>
      <c r="Y35" s="239">
        <f>IF(Tech!H35="","",CDF(Tech!H35))</f>
      </c>
      <c r="Z35" s="239">
        <f>IF(Tech!I35="","",CDF(Tech!I35))</f>
      </c>
      <c r="AA35" s="239">
        <f>IF(Tech!J35="","",CDF(Tech!J35))</f>
      </c>
      <c r="AB35" s="239">
        <f>IF(Tech!K35="","",CDF(Tech!K35))</f>
      </c>
    </row>
    <row r="36" spans="19:28" ht="18" customHeight="1">
      <c r="S36" s="229" t="str">
        <f t="shared" si="0"/>
        <v>---</v>
      </c>
      <c r="T36" s="85" t="str">
        <f t="shared" si="1"/>
        <v>---</v>
      </c>
      <c r="V36" s="192"/>
      <c r="W36" s="193"/>
      <c r="X36" s="193"/>
      <c r="Y36" s="193"/>
      <c r="Z36" s="193"/>
      <c r="AA36" s="193"/>
      <c r="AB36" s="193"/>
    </row>
    <row r="37" spans="19:28" ht="18" customHeight="1">
      <c r="S37" s="229" t="str">
        <f t="shared" si="0"/>
        <v>---</v>
      </c>
      <c r="T37" s="85" t="str">
        <f t="shared" si="1"/>
        <v>---</v>
      </c>
      <c r="V37" s="192"/>
      <c r="W37" s="193"/>
      <c r="X37" s="193"/>
      <c r="Y37" s="193"/>
      <c r="Z37" s="193"/>
      <c r="AA37" s="193"/>
      <c r="AB37" s="193"/>
    </row>
    <row r="38" spans="19:28" ht="18" customHeight="1">
      <c r="S38" s="229" t="str">
        <f t="shared" si="0"/>
        <v>---</v>
      </c>
      <c r="T38" s="85" t="str">
        <f t="shared" si="1"/>
        <v>---</v>
      </c>
      <c r="V38" s="192"/>
      <c r="W38" s="193"/>
      <c r="X38" s="193"/>
      <c r="Y38" s="193"/>
      <c r="Z38" s="193"/>
      <c r="AA38" s="193"/>
      <c r="AB38" s="193"/>
    </row>
    <row r="39" spans="19:28" ht="18" customHeight="1">
      <c r="S39" s="229" t="str">
        <f t="shared" si="0"/>
        <v>---</v>
      </c>
      <c r="T39" s="85" t="str">
        <f t="shared" si="1"/>
        <v>---</v>
      </c>
      <c r="V39" s="192"/>
      <c r="W39" s="193"/>
      <c r="X39" s="193"/>
      <c r="Y39" s="193"/>
      <c r="Z39" s="193"/>
      <c r="AA39" s="193"/>
      <c r="AB39" s="193"/>
    </row>
    <row r="40" spans="19:28" ht="18" customHeight="1">
      <c r="S40" s="229" t="str">
        <f t="shared" si="0"/>
        <v>---</v>
      </c>
      <c r="T40" s="85" t="str">
        <f t="shared" si="1"/>
        <v>---</v>
      </c>
      <c r="V40" s="192"/>
      <c r="W40" s="193"/>
      <c r="X40" s="193"/>
      <c r="Y40" s="193"/>
      <c r="Z40" s="193"/>
      <c r="AA40" s="193"/>
      <c r="AB40" s="193"/>
    </row>
    <row r="41" spans="19:28" ht="18" customHeight="1">
      <c r="S41" s="229" t="str">
        <f t="shared" si="0"/>
        <v>---</v>
      </c>
      <c r="T41" s="85" t="str">
        <f t="shared" si="1"/>
        <v>---</v>
      </c>
      <c r="V41" s="192"/>
      <c r="W41" s="193"/>
      <c r="X41" s="193"/>
      <c r="Y41" s="193"/>
      <c r="Z41" s="193"/>
      <c r="AA41" s="193"/>
      <c r="AB41" s="193"/>
    </row>
    <row r="42" spans="19:28" ht="18" customHeight="1">
      <c r="S42" s="229" t="str">
        <f t="shared" si="0"/>
        <v>---</v>
      </c>
      <c r="T42" s="85" t="str">
        <f t="shared" si="1"/>
        <v>---</v>
      </c>
      <c r="V42" s="192"/>
      <c r="W42" s="193"/>
      <c r="X42" s="193"/>
      <c r="Y42" s="193"/>
      <c r="Z42" s="193"/>
      <c r="AA42" s="193"/>
      <c r="AB42" s="193"/>
    </row>
    <row r="43" spans="19:28" ht="18" customHeight="1">
      <c r="S43" s="229" t="str">
        <f t="shared" si="0"/>
        <v>---</v>
      </c>
      <c r="T43" s="85" t="str">
        <f t="shared" si="1"/>
        <v>---</v>
      </c>
      <c r="V43" s="192"/>
      <c r="W43" s="193"/>
      <c r="X43" s="193"/>
      <c r="Y43" s="193"/>
      <c r="Z43" s="193"/>
      <c r="AA43" s="193"/>
      <c r="AB43" s="193"/>
    </row>
    <row r="44" spans="19:28" ht="18" customHeight="1">
      <c r="S44" s="229" t="str">
        <f t="shared" si="0"/>
        <v>---</v>
      </c>
      <c r="T44" s="85" t="str">
        <f t="shared" si="1"/>
        <v>---</v>
      </c>
      <c r="V44" s="192"/>
      <c r="W44" s="193"/>
      <c r="X44" s="193"/>
      <c r="Y44" s="193"/>
      <c r="Z44" s="193"/>
      <c r="AA44" s="193"/>
      <c r="AB44" s="193"/>
    </row>
    <row r="45" spans="19:28" ht="18" customHeight="1">
      <c r="S45" s="229" t="str">
        <f t="shared" si="0"/>
        <v>---</v>
      </c>
      <c r="T45" s="85" t="str">
        <f t="shared" si="1"/>
        <v>---</v>
      </c>
      <c r="V45" s="192"/>
      <c r="W45" s="193"/>
      <c r="X45" s="193"/>
      <c r="Y45" s="193"/>
      <c r="Z45" s="193"/>
      <c r="AA45" s="193"/>
      <c r="AB45" s="193"/>
    </row>
    <row r="46" spans="19:28" ht="18" customHeight="1">
      <c r="S46" s="229" t="str">
        <f t="shared" si="0"/>
        <v>---</v>
      </c>
      <c r="T46" s="85" t="str">
        <f t="shared" si="1"/>
        <v>---</v>
      </c>
      <c r="V46" s="192"/>
      <c r="W46" s="193"/>
      <c r="X46" s="193"/>
      <c r="Y46" s="193"/>
      <c r="Z46" s="193"/>
      <c r="AA46" s="193"/>
      <c r="AB46" s="193"/>
    </row>
    <row r="47" spans="19:28" ht="18" customHeight="1">
      <c r="S47" s="229" t="str">
        <f t="shared" si="0"/>
        <v>---</v>
      </c>
      <c r="T47" s="85" t="str">
        <f t="shared" si="1"/>
        <v>---</v>
      </c>
      <c r="V47" s="192"/>
      <c r="W47" s="193"/>
      <c r="X47" s="193"/>
      <c r="Y47" s="193"/>
      <c r="Z47" s="193"/>
      <c r="AA47" s="193"/>
      <c r="AB47" s="193"/>
    </row>
    <row r="48" spans="19:28" ht="18" customHeight="1">
      <c r="S48" s="229" t="str">
        <f t="shared" si="0"/>
        <v>---</v>
      </c>
      <c r="T48" s="85" t="str">
        <f t="shared" si="1"/>
        <v>---</v>
      </c>
      <c r="V48" s="192"/>
      <c r="W48" s="193"/>
      <c r="X48" s="193"/>
      <c r="Y48" s="193"/>
      <c r="Z48" s="193"/>
      <c r="AA48" s="193"/>
      <c r="AB48" s="193"/>
    </row>
    <row r="49" spans="19:28" ht="18" customHeight="1">
      <c r="S49" s="229" t="str">
        <f t="shared" si="0"/>
        <v>---</v>
      </c>
      <c r="T49" s="85" t="str">
        <f t="shared" si="1"/>
        <v>---</v>
      </c>
      <c r="V49" s="192"/>
      <c r="W49" s="193"/>
      <c r="X49" s="193"/>
      <c r="Y49" s="193"/>
      <c r="Z49" s="193"/>
      <c r="AA49" s="193"/>
      <c r="AB49" s="193"/>
    </row>
    <row r="50" spans="19:28" ht="18" customHeight="1">
      <c r="S50" s="229" t="str">
        <f t="shared" si="0"/>
        <v>---</v>
      </c>
      <c r="T50" s="85" t="str">
        <f t="shared" si="1"/>
        <v>---</v>
      </c>
      <c r="V50" s="192"/>
      <c r="W50" s="193"/>
      <c r="X50" s="193"/>
      <c r="Y50" s="193"/>
      <c r="Z50" s="193"/>
      <c r="AA50" s="193"/>
      <c r="AB50" s="193"/>
    </row>
    <row r="51" spans="19:28" ht="18" customHeight="1">
      <c r="S51" s="229" t="str">
        <f t="shared" si="0"/>
        <v>---</v>
      </c>
      <c r="T51" s="85" t="str">
        <f t="shared" si="1"/>
        <v>---</v>
      </c>
      <c r="V51" s="192"/>
      <c r="W51" s="193"/>
      <c r="X51" s="193"/>
      <c r="Y51" s="193"/>
      <c r="Z51" s="193"/>
      <c r="AA51" s="193"/>
      <c r="AB51" s="193"/>
    </row>
    <row r="52" spans="19:28" ht="18" customHeight="1">
      <c r="S52" s="229" t="str">
        <f t="shared" si="0"/>
        <v>---</v>
      </c>
      <c r="T52" s="85" t="str">
        <f t="shared" si="1"/>
        <v>---</v>
      </c>
      <c r="V52" s="192"/>
      <c r="W52" s="193"/>
      <c r="X52" s="193"/>
      <c r="Y52" s="193"/>
      <c r="Z52" s="193"/>
      <c r="AA52" s="193"/>
      <c r="AB52" s="193"/>
    </row>
    <row r="53" spans="19:28" ht="18" customHeight="1">
      <c r="S53" s="229" t="str">
        <f t="shared" si="0"/>
        <v>---</v>
      </c>
      <c r="T53" s="85" t="str">
        <f t="shared" si="1"/>
        <v>---</v>
      </c>
      <c r="V53" s="192"/>
      <c r="W53" s="193"/>
      <c r="X53" s="193"/>
      <c r="Y53" s="193"/>
      <c r="Z53" s="193"/>
      <c r="AA53" s="193"/>
      <c r="AB53" s="193"/>
    </row>
    <row r="54" spans="19:28" ht="18" customHeight="1">
      <c r="S54" s="229" t="str">
        <f t="shared" si="0"/>
        <v>---</v>
      </c>
      <c r="T54" s="85" t="str">
        <f t="shared" si="1"/>
        <v>---</v>
      </c>
      <c r="V54" s="192"/>
      <c r="W54" s="193"/>
      <c r="X54" s="193"/>
      <c r="Y54" s="193"/>
      <c r="Z54" s="193"/>
      <c r="AA54" s="193"/>
      <c r="AB54" s="193"/>
    </row>
    <row r="55" spans="19:28" ht="18" customHeight="1">
      <c r="S55" s="229" t="str">
        <f t="shared" si="0"/>
        <v>---</v>
      </c>
      <c r="T55" s="85" t="str">
        <f t="shared" si="1"/>
        <v>---</v>
      </c>
      <c r="V55" s="192"/>
      <c r="W55" s="193"/>
      <c r="X55" s="193"/>
      <c r="Y55" s="193"/>
      <c r="Z55" s="193"/>
      <c r="AA55" s="193"/>
      <c r="AB55" s="193"/>
    </row>
    <row r="56" spans="19:28" ht="18" customHeight="1">
      <c r="S56" s="229" t="str">
        <f t="shared" si="0"/>
        <v>---</v>
      </c>
      <c r="T56" s="85" t="str">
        <f t="shared" si="1"/>
        <v>---</v>
      </c>
      <c r="V56" s="192"/>
      <c r="W56" s="193"/>
      <c r="X56" s="193"/>
      <c r="Y56" s="193"/>
      <c r="Z56" s="193"/>
      <c r="AA56" s="193"/>
      <c r="AB56" s="193"/>
    </row>
    <row r="57" spans="19:28" ht="18" customHeight="1">
      <c r="S57" s="229" t="str">
        <f t="shared" si="0"/>
        <v>---</v>
      </c>
      <c r="T57" s="85" t="str">
        <f t="shared" si="1"/>
        <v>---</v>
      </c>
      <c r="V57" s="192"/>
      <c r="W57" s="193"/>
      <c r="X57" s="193"/>
      <c r="Y57" s="193"/>
      <c r="Z57" s="193"/>
      <c r="AA57" s="193"/>
      <c r="AB57" s="193"/>
    </row>
    <row r="58" spans="19:28" ht="18" customHeight="1">
      <c r="S58" s="229" t="str">
        <f t="shared" si="0"/>
        <v>---</v>
      </c>
      <c r="T58" s="85" t="str">
        <f t="shared" si="1"/>
        <v>---</v>
      </c>
      <c r="V58" s="192"/>
      <c r="W58" s="193"/>
      <c r="X58" s="193"/>
      <c r="Y58" s="193"/>
      <c r="Z58" s="193"/>
      <c r="AA58" s="193"/>
      <c r="AB58" s="193"/>
    </row>
    <row r="59" spans="19:28" ht="18" customHeight="1">
      <c r="S59" s="229" t="str">
        <f t="shared" si="0"/>
        <v>---</v>
      </c>
      <c r="T59" s="85" t="str">
        <f t="shared" si="1"/>
        <v>---</v>
      </c>
      <c r="V59" s="192"/>
      <c r="W59" s="193"/>
      <c r="X59" s="193"/>
      <c r="Y59" s="193"/>
      <c r="Z59" s="193"/>
      <c r="AA59" s="193"/>
      <c r="AB59" s="193"/>
    </row>
    <row r="60" spans="19:28" ht="18" customHeight="1">
      <c r="S60" s="229" t="str">
        <f t="shared" si="0"/>
        <v>---</v>
      </c>
      <c r="T60" s="85" t="str">
        <f t="shared" si="1"/>
        <v>---</v>
      </c>
      <c r="V60" s="192"/>
      <c r="W60" s="193"/>
      <c r="X60" s="193"/>
      <c r="Y60" s="193"/>
      <c r="Z60" s="193"/>
      <c r="AA60" s="193"/>
      <c r="AB60" s="193"/>
    </row>
    <row r="61" spans="19:28" ht="18" customHeight="1">
      <c r="S61" s="229" t="str">
        <f t="shared" si="0"/>
        <v>---</v>
      </c>
      <c r="T61" s="85" t="str">
        <f t="shared" si="1"/>
        <v>---</v>
      </c>
      <c r="V61" s="192"/>
      <c r="W61" s="193"/>
      <c r="X61" s="193"/>
      <c r="Y61" s="193"/>
      <c r="Z61" s="193"/>
      <c r="AA61" s="193"/>
      <c r="AB61" s="193"/>
    </row>
    <row r="62" spans="19:28" ht="18" customHeight="1">
      <c r="S62" s="229" t="str">
        <f t="shared" si="0"/>
        <v>---</v>
      </c>
      <c r="T62" s="85" t="str">
        <f t="shared" si="1"/>
        <v>---</v>
      </c>
      <c r="V62" s="192"/>
      <c r="W62" s="193"/>
      <c r="X62" s="193"/>
      <c r="Y62" s="193"/>
      <c r="Z62" s="193"/>
      <c r="AA62" s="193"/>
      <c r="AB62" s="193"/>
    </row>
    <row r="63" spans="19:28" ht="18" customHeight="1">
      <c r="S63" s="229" t="str">
        <f t="shared" si="0"/>
        <v>---</v>
      </c>
      <c r="T63" s="85" t="str">
        <f t="shared" si="1"/>
        <v>---</v>
      </c>
      <c r="V63" s="192"/>
      <c r="W63" s="193"/>
      <c r="X63" s="193"/>
      <c r="Y63" s="193"/>
      <c r="Z63" s="193"/>
      <c r="AA63" s="193"/>
      <c r="AB63" s="193"/>
    </row>
    <row r="64" spans="19:28" ht="18" customHeight="1">
      <c r="S64" s="229" t="str">
        <f t="shared" si="0"/>
        <v>---</v>
      </c>
      <c r="T64" s="85" t="str">
        <f t="shared" si="1"/>
        <v>---</v>
      </c>
      <c r="V64" s="192"/>
      <c r="W64" s="193"/>
      <c r="X64" s="193"/>
      <c r="Y64" s="193"/>
      <c r="Z64" s="193"/>
      <c r="AA64" s="193"/>
      <c r="AB64" s="193"/>
    </row>
    <row r="65" spans="19:28" ht="18" customHeight="1">
      <c r="S65" s="230" t="str">
        <f t="shared" si="0"/>
        <v>---</v>
      </c>
      <c r="T65" s="87" t="str">
        <f t="shared" si="1"/>
        <v>---</v>
      </c>
      <c r="V65" s="192"/>
      <c r="W65" s="193"/>
      <c r="X65" s="193"/>
      <c r="Y65" s="193"/>
      <c r="Z65" s="193"/>
      <c r="AA65" s="193"/>
      <c r="AB65" s="193"/>
    </row>
  </sheetData>
  <sheetProtection sheet="1" scenarios="1"/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Q1192"/>
  <sheetViews>
    <sheetView showGridLines="0" zoomScale="95" zoomScaleNormal="95" workbookViewId="0" topLeftCell="A1">
      <selection activeCell="A1" sqref="A1"/>
    </sheetView>
  </sheetViews>
  <sheetFormatPr defaultColWidth="9.140625" defaultRowHeight="12.75"/>
  <cols>
    <col min="1" max="1" width="2.57421875" style="40" customWidth="1"/>
    <col min="2" max="2" width="9.7109375" style="40" customWidth="1"/>
    <col min="3" max="3" width="9.7109375" style="158" customWidth="1"/>
    <col min="4" max="15" width="9.7109375" style="40" customWidth="1"/>
    <col min="16" max="16" width="11.57421875" style="40" customWidth="1"/>
    <col min="17" max="17" width="8.8515625" style="40" hidden="1" customWidth="1"/>
    <col min="18" max="16384" width="9.140625" style="40" customWidth="1"/>
  </cols>
  <sheetData>
    <row r="1" spans="1:17" ht="21.75" customHeight="1">
      <c r="A1" s="27"/>
      <c r="B1" s="159" t="s">
        <v>36</v>
      </c>
      <c r="C1" s="27"/>
      <c r="D1" s="27"/>
      <c r="E1" s="27"/>
      <c r="F1" s="27"/>
      <c r="G1" s="182" t="s">
        <v>129</v>
      </c>
      <c r="H1" s="63"/>
      <c r="I1" s="63"/>
      <c r="J1" s="63"/>
      <c r="K1" s="63"/>
      <c r="L1" s="27"/>
      <c r="M1" s="27"/>
      <c r="N1" s="27"/>
      <c r="O1" s="27"/>
      <c r="P1" s="55"/>
      <c r="Q1" s="55"/>
    </row>
    <row r="2" spans="1:17" s="56" customFormat="1" ht="18" customHeight="1">
      <c r="A2" s="27"/>
      <c r="B2" s="27"/>
      <c r="C2" s="64" t="s">
        <v>26</v>
      </c>
      <c r="D2" s="65"/>
      <c r="E2" s="63"/>
      <c r="F2" s="63"/>
      <c r="G2" s="63"/>
      <c r="H2" s="61"/>
      <c r="I2" s="63"/>
      <c r="J2" s="63"/>
      <c r="K2" s="63"/>
      <c r="L2" s="63"/>
      <c r="M2" s="63"/>
      <c r="N2" s="63"/>
      <c r="O2" s="27"/>
      <c r="P2" s="55"/>
      <c r="Q2" s="55"/>
    </row>
    <row r="3" spans="1:17" ht="15" customHeight="1">
      <c r="A3" s="27"/>
      <c r="B3" s="27"/>
      <c r="C3" s="160" t="s">
        <v>130</v>
      </c>
      <c r="D3" s="105" t="s">
        <v>131</v>
      </c>
      <c r="E3" s="106"/>
      <c r="F3" s="61"/>
      <c r="G3" s="61"/>
      <c r="H3" s="61"/>
      <c r="I3" s="61"/>
      <c r="J3" s="61"/>
      <c r="K3" s="61"/>
      <c r="L3" s="61"/>
      <c r="M3" s="61"/>
      <c r="N3" s="61"/>
      <c r="O3" s="27"/>
      <c r="P3" s="55"/>
      <c r="Q3" s="55"/>
    </row>
    <row r="4" spans="1:17" ht="15" customHeight="1">
      <c r="A4" s="27"/>
      <c r="B4" s="27"/>
      <c r="C4" s="161"/>
      <c r="D4" s="103" t="s">
        <v>132</v>
      </c>
      <c r="E4" s="106"/>
      <c r="F4" s="106"/>
      <c r="G4" s="106"/>
      <c r="H4" s="61"/>
      <c r="I4" s="106"/>
      <c r="J4" s="63"/>
      <c r="K4" s="63"/>
      <c r="L4" s="63"/>
      <c r="M4" s="63"/>
      <c r="N4" s="63"/>
      <c r="O4" s="27"/>
      <c r="P4" s="55"/>
      <c r="Q4" s="55"/>
    </row>
    <row r="5" spans="1:17" ht="15" customHeight="1">
      <c r="A5" s="26"/>
      <c r="B5" s="26"/>
      <c r="C5" s="160" t="s">
        <v>133</v>
      </c>
      <c r="D5" s="61" t="s">
        <v>129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27"/>
      <c r="P5" s="55"/>
      <c r="Q5" s="55"/>
    </row>
    <row r="6" spans="1:17" ht="1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  <c r="P6" s="55"/>
      <c r="Q6" s="55"/>
    </row>
    <row r="7" spans="1:17" ht="1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55"/>
      <c r="Q7" s="55"/>
    </row>
    <row r="8" spans="1:17" ht="15" customHeight="1">
      <c r="A8" s="26"/>
      <c r="B8" s="26"/>
      <c r="C8" s="26"/>
      <c r="D8" s="26"/>
      <c r="F8" s="26"/>
      <c r="G8" s="26"/>
      <c r="H8" s="26"/>
      <c r="I8" s="26"/>
      <c r="J8" s="26"/>
      <c r="K8" s="26"/>
      <c r="L8" s="26"/>
      <c r="M8" s="26"/>
      <c r="N8" s="26"/>
      <c r="O8" s="27"/>
      <c r="P8" s="55"/>
      <c r="Q8" s="55"/>
    </row>
    <row r="9" spans="1:17" ht="15" customHeight="1">
      <c r="A9" s="26"/>
      <c r="B9" s="26"/>
      <c r="C9" s="26"/>
      <c r="D9" s="26"/>
      <c r="E9" s="57"/>
      <c r="F9" s="26"/>
      <c r="G9" s="26"/>
      <c r="H9" s="26"/>
      <c r="I9" s="26"/>
      <c r="J9" s="26"/>
      <c r="K9" s="26"/>
      <c r="L9" s="26"/>
      <c r="M9" s="26"/>
      <c r="N9" s="26"/>
      <c r="O9" s="27"/>
      <c r="P9" s="55"/>
      <c r="Q9" s="55"/>
    </row>
    <row r="10" spans="1:17" ht="1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/>
      <c r="P10" s="55"/>
      <c r="Q10" s="55"/>
    </row>
    <row r="11" spans="1:17" ht="15" customHeight="1">
      <c r="A11" s="31"/>
      <c r="B11" s="31"/>
      <c r="C11" s="31"/>
      <c r="D11" s="42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58"/>
      <c r="Q11" s="59"/>
    </row>
    <row r="12" spans="1:17" ht="24" customHeight="1" thickBot="1">
      <c r="A12" s="26"/>
      <c r="B12" s="76" t="s">
        <v>61</v>
      </c>
      <c r="C12" s="162"/>
      <c r="D12" s="162"/>
      <c r="E12" s="162"/>
      <c r="F12" s="162"/>
      <c r="G12" s="149"/>
      <c r="H12" s="171" t="s">
        <v>62</v>
      </c>
      <c r="I12" s="172"/>
      <c r="J12" s="172"/>
      <c r="K12" s="162"/>
      <c r="L12" s="162"/>
      <c r="M12" s="162"/>
      <c r="N12" s="26"/>
      <c r="O12" s="79" t="s">
        <v>63</v>
      </c>
      <c r="P12" s="84"/>
      <c r="Q12" s="150"/>
    </row>
    <row r="13" spans="1:17" s="153" customFormat="1" ht="18.75" customHeight="1" thickTop="1">
      <c r="A13" s="26"/>
      <c r="B13" s="163"/>
      <c r="C13" s="164" t="s">
        <v>1</v>
      </c>
      <c r="D13" s="164"/>
      <c r="E13" s="115" t="s">
        <v>58</v>
      </c>
      <c r="F13" s="164" t="s">
        <v>60</v>
      </c>
      <c r="G13" s="151"/>
      <c r="H13" s="173"/>
      <c r="I13" s="174"/>
      <c r="J13" s="174"/>
      <c r="K13" s="175"/>
      <c r="L13" s="164" t="s">
        <v>79</v>
      </c>
      <c r="M13" s="164" t="s">
        <v>79</v>
      </c>
      <c r="N13" s="26"/>
      <c r="O13" s="61"/>
      <c r="P13" s="61"/>
      <c r="Q13" s="150"/>
    </row>
    <row r="14" spans="1:17" s="153" customFormat="1" ht="12.75">
      <c r="A14" s="26"/>
      <c r="B14" s="165" t="s">
        <v>2</v>
      </c>
      <c r="C14" s="119" t="s">
        <v>59</v>
      </c>
      <c r="D14" s="119" t="s">
        <v>50</v>
      </c>
      <c r="E14" s="166" t="s">
        <v>20</v>
      </c>
      <c r="F14" s="119" t="s">
        <v>20</v>
      </c>
      <c r="G14" s="152"/>
      <c r="H14" s="165" t="s">
        <v>2</v>
      </c>
      <c r="I14" s="176" t="s">
        <v>22</v>
      </c>
      <c r="J14" s="177" t="s">
        <v>121</v>
      </c>
      <c r="K14" s="178" t="s">
        <v>21</v>
      </c>
      <c r="L14" s="177" t="s">
        <v>122</v>
      </c>
      <c r="M14" s="177" t="s">
        <v>23</v>
      </c>
      <c r="O14" s="118" t="s">
        <v>2</v>
      </c>
      <c r="P14" s="119" t="s">
        <v>15</v>
      </c>
      <c r="Q14" s="150"/>
    </row>
    <row r="15" spans="1:17" s="153" customFormat="1" ht="11.25" customHeight="1">
      <c r="A15" s="26"/>
      <c r="B15" s="167"/>
      <c r="C15" s="168"/>
      <c r="D15" s="168"/>
      <c r="E15" s="169" t="e">
        <f>-opdf(cut1,Sbase)</f>
        <v>#NAME?</v>
      </c>
      <c r="F15" s="169" t="e">
        <f>IF(#REF!="","",IF(#REF!="",opdf(cut1,Sbase),opdf(cut1,Sbase)-opdf(cut2,Sbase)))</f>
        <v>#REF!</v>
      </c>
      <c r="G15" s="154" t="e">
        <f>IF(#REF!="","",IF(B14="",opdf(cut3,Sbase),opdf(cut3,Sbase)-opdf(cut4,Sbase)))</f>
        <v>#REF!</v>
      </c>
      <c r="H15" s="169" t="e">
        <f>IF(B14="","",IF(C14="",opdf(cut4,Sbase),opdf(cut4,Sbase)-opdf(cut5,Sbase)))</f>
        <v>#NAME?</v>
      </c>
      <c r="I15" s="169" t="e">
        <f>IF(C14="","",IF(D14="",opdf(cut5,Sbase),opdf(cut5,Sbase)-opdf(cut6,Sbase)))</f>
        <v>#NAME?</v>
      </c>
      <c r="J15" s="169" t="e">
        <f>IF(E14="","",IF(F14="",opdf(cut7,Sbase),opdf(cut7,Sbase)-opdf(cut8,Sbase)))</f>
        <v>#NAME?</v>
      </c>
      <c r="K15" s="169" t="e">
        <f>IF(D14="","",IF(E14="",opdf(cut6,Sbase),opdf(cut6,Sbase)-opdf(cut7,Sbase)))</f>
        <v>#NAME?</v>
      </c>
      <c r="L15" s="169" t="e">
        <f>IF(F14="","",IF(#REF!="",opdf(cut8,Sbase),opdf(cut8,Sbase)-opdf(cut9,Sbase)))</f>
        <v>#REF!</v>
      </c>
      <c r="M15" s="169" t="e">
        <f>IF(#REF!="","",IF(#REF!="",opdf(cut9,Sbase),opdf(cut9,Sbase)-opdf(cut10,Sbase)))</f>
        <v>#REF!</v>
      </c>
      <c r="O15" s="63"/>
      <c r="P15" s="63"/>
      <c r="Q15" s="150"/>
    </row>
    <row r="16" spans="1:17" ht="13.5" customHeight="1">
      <c r="A16" s="26"/>
      <c r="B16" s="147" t="str">
        <f>RHV</f>
        <v>K5</v>
      </c>
      <c r="C16" s="170">
        <f>B</f>
        <v>-1.463</v>
      </c>
      <c r="D16" s="170">
        <f>Z</f>
        <v>-7.43</v>
      </c>
      <c r="E16" s="170">
        <f>EXP(B)</f>
        <v>0.2315406099245259</v>
      </c>
      <c r="F16" s="170">
        <f>EXP(B*Sd)</f>
        <v>0.46731113555323656</v>
      </c>
      <c r="G16" s="94"/>
      <c r="H16" s="134" t="str">
        <f>RHV</f>
        <v>K5</v>
      </c>
      <c r="I16" s="134">
        <f>IF(RHV="","---",B*(CDF(Sbase)*(1-CDF(Sbase))))</f>
        <v>-0.35682005745541406</v>
      </c>
      <c r="J16" s="170">
        <f>IF(Q16="","---",Tech!O16)</f>
        <v>-0.6370577834129888</v>
      </c>
      <c r="K16" s="170" t="str">
        <f>IF(Q16="b",Tech!N16,"---")</f>
        <v>---</v>
      </c>
      <c r="L16" s="170">
        <f>IF(Q16="c",Tech!R16,"---")</f>
        <v>-0.3427434242059127</v>
      </c>
      <c r="M16" s="170">
        <f>IF(Q16="C",Tech!U16,"---")</f>
        <v>-0.18349935297307007</v>
      </c>
      <c r="O16" s="147" t="str">
        <f>RHV</f>
        <v>K5</v>
      </c>
      <c r="P16" s="147">
        <f>IF(Bval="","",+Bval)</f>
        <v>0.24</v>
      </c>
      <c r="Q16" s="155" t="str">
        <f>IF(Vtype="","",Vtype)</f>
        <v>C</v>
      </c>
    </row>
    <row r="17" spans="1:17" ht="13.5" customHeight="1">
      <c r="A17" s="26"/>
      <c r="B17" s="147" t="str">
        <f>IF(RHV="","---",RHV)</f>
        <v>K618</v>
      </c>
      <c r="C17" s="170">
        <f>IF(B="","---",B)</f>
        <v>-0.065</v>
      </c>
      <c r="D17" s="170">
        <f>IF(Z="","---",Z)</f>
        <v>-0.95</v>
      </c>
      <c r="E17" s="170">
        <f>IF(B="","---",EXP(B))</f>
        <v>0.9370674633774034</v>
      </c>
      <c r="F17" s="170">
        <f>IF(B="","---",EXP(B*Sd))</f>
        <v>0.9177777684195032</v>
      </c>
      <c r="G17" s="94"/>
      <c r="H17" s="134" t="str">
        <f>IF(RHV="","---",RHV)</f>
        <v>K618</v>
      </c>
      <c r="I17" s="170">
        <f aca="true" t="shared" si="0" ref="I17:I65">IF(RHV="","---",B*(CDF(Sbase)*(1-CDF(Sbase))))</f>
        <v>-0.015853249305947992</v>
      </c>
      <c r="J17" s="170">
        <f>IF(Q17="","---",Tech!O17)</f>
        <v>-0.1286263508945789</v>
      </c>
      <c r="K17" s="170" t="str">
        <f>IF(Q17="b",Tech!N17,"---")</f>
        <v>---</v>
      </c>
      <c r="L17" s="170">
        <f>IF(Q17="c",Tech!R17,"---")</f>
        <v>-0.015851956219832042</v>
      </c>
      <c r="M17" s="170">
        <f>IF(Q17="C",Tech!U17,"---")</f>
        <v>-0.020923315233822626</v>
      </c>
      <c r="O17" s="147" t="str">
        <f>IF(RHV="","---",RHV)</f>
        <v>K618</v>
      </c>
      <c r="P17" s="103">
        <f>IF(Bval="","---",+Bval)</f>
        <v>1.35</v>
      </c>
      <c r="Q17" s="155" t="str">
        <f>IF(Vtype="","",Vtype)</f>
        <v>C</v>
      </c>
    </row>
    <row r="18" spans="1:17" ht="13.5" customHeight="1">
      <c r="A18" s="26"/>
      <c r="B18" s="103" t="str">
        <f aca="true" t="shared" si="1" ref="B18:B65">IF(RHV="","---",RHV)</f>
        <v>Age</v>
      </c>
      <c r="C18" s="170">
        <f aca="true" t="shared" si="2" ref="C18:C65">IF(B="","---",B)</f>
        <v>-0.063</v>
      </c>
      <c r="D18" s="170">
        <f aca="true" t="shared" si="3" ref="D18:D65">IF(Z="","---",Z)</f>
        <v>-4.92</v>
      </c>
      <c r="E18" s="170">
        <f aca="true" t="shared" si="4" ref="E18:E65">IF(B="","---",EXP(B))</f>
        <v>0.9389434736891332</v>
      </c>
      <c r="F18" s="170">
        <f aca="true" t="shared" si="5" ref="F18:F65">IF(B="","---",EXP(B*Sd))</f>
        <v>0.6014511262414737</v>
      </c>
      <c r="G18" s="94"/>
      <c r="H18" s="134" t="str">
        <f aca="true" t="shared" si="6" ref="H18:H65">IF(RHV="","---",RHV)</f>
        <v>Age</v>
      </c>
      <c r="I18" s="170">
        <f t="shared" si="0"/>
        <v>-0.015365457019611131</v>
      </c>
      <c r="J18" s="170">
        <f>IF(Q18="","---",Tech!O18)</f>
        <v>-0.43798484807599225</v>
      </c>
      <c r="K18" s="170" t="str">
        <f>IF(Q18="b",Tech!N18,"---")</f>
        <v>---</v>
      </c>
      <c r="L18" s="170">
        <f>IF(Q18="c",Tech!R18,"---")</f>
        <v>-0.015364279653610646</v>
      </c>
      <c r="M18" s="170">
        <f>IF(Q18="C",Tech!U18,"---")</f>
        <v>-0.12338393450321516</v>
      </c>
      <c r="O18" s="103" t="str">
        <f aca="true" t="shared" si="7" ref="O18:O65">IF(RHV="","---",RHV)</f>
        <v>Age</v>
      </c>
      <c r="P18" s="85">
        <f aca="true" t="shared" si="8" ref="P18:P65">IF(Bval="","---",+Bval)</f>
        <v>42.52</v>
      </c>
      <c r="Q18" s="155" t="str">
        <f aca="true" t="shared" si="9" ref="Q18:Q65">IF(Vtype="","",Vtype)</f>
        <v>C</v>
      </c>
    </row>
    <row r="19" spans="1:17" ht="13.5" customHeight="1">
      <c r="A19" s="26"/>
      <c r="B19" s="103" t="str">
        <f t="shared" si="1"/>
        <v>WC</v>
      </c>
      <c r="C19" s="170">
        <f t="shared" si="2"/>
        <v>0.807</v>
      </c>
      <c r="D19" s="170">
        <f t="shared" si="3"/>
        <v>3.51</v>
      </c>
      <c r="E19" s="170">
        <f t="shared" si="4"/>
        <v>2.2411743681943785</v>
      </c>
      <c r="F19" s="170">
        <f t="shared" si="5"/>
        <v>1.437851520794308</v>
      </c>
      <c r="G19" s="94"/>
      <c r="H19" s="134" t="str">
        <f t="shared" si="6"/>
        <v>WC</v>
      </c>
      <c r="I19" s="170">
        <f t="shared" si="0"/>
        <v>0.19682418753692354</v>
      </c>
      <c r="J19" s="170">
        <f>IF(Q19="","---",Tech!O19)</f>
        <v>0.18788580724498416</v>
      </c>
      <c r="K19" s="170">
        <f>IF(Q19="b",Tech!N19,"---")</f>
        <v>0.18788580724498416</v>
      </c>
      <c r="L19" s="170" t="str">
        <f>IF(Q19="c",Tech!R19,"---")</f>
        <v>---</v>
      </c>
      <c r="M19" s="170" t="str">
        <f>IF(Q19="C",Tech!U19,"---")</f>
        <v>---</v>
      </c>
      <c r="O19" s="103" t="str">
        <f t="shared" si="7"/>
        <v>WC</v>
      </c>
      <c r="P19" s="85">
        <f t="shared" si="8"/>
        <v>0.28</v>
      </c>
      <c r="Q19" s="155" t="str">
        <f t="shared" si="9"/>
        <v>B</v>
      </c>
    </row>
    <row r="20" spans="1:17" ht="13.5" customHeight="1">
      <c r="A20" s="26"/>
      <c r="B20" s="103" t="str">
        <f t="shared" si="1"/>
        <v>HC</v>
      </c>
      <c r="C20" s="170">
        <f t="shared" si="2"/>
        <v>0.112</v>
      </c>
      <c r="D20" s="170">
        <f t="shared" si="3"/>
        <v>0.54</v>
      </c>
      <c r="E20" s="170">
        <f t="shared" si="4"/>
        <v>1.1185128606450452</v>
      </c>
      <c r="F20" s="170">
        <f t="shared" si="5"/>
        <v>1.0564138374085215</v>
      </c>
      <c r="G20" s="94"/>
      <c r="H20" s="134" t="str">
        <f t="shared" si="6"/>
        <v>HC</v>
      </c>
      <c r="I20" s="170">
        <f t="shared" si="0"/>
        <v>0.027316368034864234</v>
      </c>
      <c r="J20" s="170">
        <f>IF(Q20="","---",Tech!O20)</f>
        <v>0.027256264376629757</v>
      </c>
      <c r="K20" s="170">
        <f>IF(Q20="b",Tech!N20,"---")</f>
        <v>0.027256264376629757</v>
      </c>
      <c r="L20" s="170" t="str">
        <f>IF(Q20="c",Tech!R20,"---")</f>
        <v>---</v>
      </c>
      <c r="M20" s="170" t="str">
        <f>IF(Q20="C",Tech!U20,"---")</f>
        <v>---</v>
      </c>
      <c r="O20" s="103" t="str">
        <f t="shared" si="7"/>
        <v>HC</v>
      </c>
      <c r="P20" s="85">
        <f t="shared" si="8"/>
        <v>0.39</v>
      </c>
      <c r="Q20" s="155" t="str">
        <f t="shared" si="9"/>
        <v>B</v>
      </c>
    </row>
    <row r="21" spans="1:17" ht="13.5" customHeight="1">
      <c r="A21" s="26"/>
      <c r="B21" s="103" t="str">
        <f t="shared" si="1"/>
        <v>Lwg</v>
      </c>
      <c r="C21" s="170">
        <f t="shared" si="2"/>
        <v>0.605</v>
      </c>
      <c r="D21" s="170">
        <f t="shared" si="3"/>
        <v>4.01</v>
      </c>
      <c r="E21" s="170">
        <f t="shared" si="4"/>
        <v>1.8312522088857732</v>
      </c>
      <c r="F21" s="170">
        <f t="shared" si="5"/>
        <v>1.4289644198466493</v>
      </c>
      <c r="G21" s="94"/>
      <c r="H21" s="134" t="str">
        <f t="shared" si="6"/>
        <v>Lwg</v>
      </c>
      <c r="I21" s="170">
        <f t="shared" si="0"/>
        <v>0.14755716661690052</v>
      </c>
      <c r="J21" s="170">
        <f>IF(Q21="","---",Tech!O21)</f>
        <v>0.6624042232910266</v>
      </c>
      <c r="K21" s="170" t="str">
        <f>IF(Q21="b",Tech!N21,"---")</f>
        <v>---</v>
      </c>
      <c r="L21" s="170">
        <f>IF(Q21="c",Tech!R21,"---")</f>
        <v>0.1465227750349275</v>
      </c>
      <c r="M21" s="170">
        <f>IF(Q21="C",Tech!U21,"---")</f>
        <v>0.08684516544908005</v>
      </c>
      <c r="O21" s="103" t="str">
        <f t="shared" si="7"/>
        <v>Lwg</v>
      </c>
      <c r="P21" s="85">
        <f t="shared" si="8"/>
        <v>1.1</v>
      </c>
      <c r="Q21" s="155" t="str">
        <f t="shared" si="9"/>
        <v>C</v>
      </c>
    </row>
    <row r="22" spans="1:17" ht="13.5" customHeight="1">
      <c r="A22" s="26"/>
      <c r="B22" s="103" t="str">
        <f t="shared" si="1"/>
        <v>Inc</v>
      </c>
      <c r="C22" s="170">
        <f t="shared" si="2"/>
        <v>-0.034</v>
      </c>
      <c r="D22" s="170">
        <f t="shared" si="3"/>
        <v>-4.2</v>
      </c>
      <c r="E22" s="170">
        <f t="shared" si="4"/>
        <v>0.9665715046375066</v>
      </c>
      <c r="F22" s="170">
        <f t="shared" si="5"/>
        <v>0.6733971530426448</v>
      </c>
      <c r="G22" s="94"/>
      <c r="H22" s="134" t="str">
        <f t="shared" si="6"/>
        <v>Inc</v>
      </c>
      <c r="I22" s="170">
        <f t="shared" si="0"/>
        <v>-0.008292468867726643</v>
      </c>
      <c r="J22" s="170">
        <f>IF(Q22="","---",Tech!O22)</f>
        <v>-0.6370558754988084</v>
      </c>
      <c r="K22" s="170" t="str">
        <f>IF(Q22="b",Tech!N22,"---")</f>
        <v>---</v>
      </c>
      <c r="L22" s="170">
        <f>IF(Q22="c",Tech!R22,"---")</f>
        <v>-0.008292283790211519</v>
      </c>
      <c r="M22" s="170">
        <f>IF(Q22="C",Tech!U22,"---")</f>
        <v>-0.09615127685419578</v>
      </c>
      <c r="O22" s="103" t="str">
        <f t="shared" si="7"/>
        <v>Inc</v>
      </c>
      <c r="P22" s="85">
        <f t="shared" si="8"/>
        <v>20.13</v>
      </c>
      <c r="Q22" s="155" t="str">
        <f t="shared" si="9"/>
        <v>C</v>
      </c>
    </row>
    <row r="23" spans="1:17" ht="13.5" customHeight="1">
      <c r="A23" s="26"/>
      <c r="B23" s="103" t="str">
        <f t="shared" si="1"/>
        <v>---</v>
      </c>
      <c r="C23" s="170" t="str">
        <f t="shared" si="2"/>
        <v>---</v>
      </c>
      <c r="D23" s="170" t="str">
        <f t="shared" si="3"/>
        <v>---</v>
      </c>
      <c r="E23" s="170" t="str">
        <f t="shared" si="4"/>
        <v>---</v>
      </c>
      <c r="F23" s="170" t="str">
        <f t="shared" si="5"/>
        <v>---</v>
      </c>
      <c r="G23" s="94"/>
      <c r="H23" s="134" t="str">
        <f t="shared" si="6"/>
        <v>---</v>
      </c>
      <c r="I23" s="170" t="str">
        <f t="shared" si="0"/>
        <v>---</v>
      </c>
      <c r="J23" s="170" t="str">
        <f>IF(Q23="","---",Tech!O23)</f>
        <v>---</v>
      </c>
      <c r="K23" s="170" t="str">
        <f>IF(Q23="b",Tech!N23,"---")</f>
        <v>---</v>
      </c>
      <c r="L23" s="170" t="str">
        <f>IF(Q23="c",Tech!R23,"---")</f>
        <v>---</v>
      </c>
      <c r="M23" s="170" t="str">
        <f>IF(Q23="C",Tech!U23,"---")</f>
        <v>---</v>
      </c>
      <c r="O23" s="103" t="str">
        <f t="shared" si="7"/>
        <v>---</v>
      </c>
      <c r="P23" s="85" t="str">
        <f t="shared" si="8"/>
        <v>---</v>
      </c>
      <c r="Q23" s="155">
        <f t="shared" si="9"/>
      </c>
    </row>
    <row r="24" spans="1:17" ht="13.5" customHeight="1">
      <c r="A24" s="26"/>
      <c r="B24" s="103" t="str">
        <f t="shared" si="1"/>
        <v>---</v>
      </c>
      <c r="C24" s="170" t="str">
        <f t="shared" si="2"/>
        <v>---</v>
      </c>
      <c r="D24" s="170" t="str">
        <f t="shared" si="3"/>
        <v>---</v>
      </c>
      <c r="E24" s="170" t="str">
        <f t="shared" si="4"/>
        <v>---</v>
      </c>
      <c r="F24" s="170" t="str">
        <f t="shared" si="5"/>
        <v>---</v>
      </c>
      <c r="G24" s="94"/>
      <c r="H24" s="134" t="str">
        <f t="shared" si="6"/>
        <v>---</v>
      </c>
      <c r="I24" s="170" t="str">
        <f t="shared" si="0"/>
        <v>---</v>
      </c>
      <c r="J24" s="170" t="str">
        <f>IF(Q24="","---",Tech!O24)</f>
        <v>---</v>
      </c>
      <c r="K24" s="170" t="str">
        <f>IF(Q24="b",Tech!N24,"---")</f>
        <v>---</v>
      </c>
      <c r="L24" s="170" t="str">
        <f>IF(Q24="c",Tech!R24,"---")</f>
        <v>---</v>
      </c>
      <c r="M24" s="170" t="str">
        <f>IF(Q24="C",Tech!U24,"---")</f>
        <v>---</v>
      </c>
      <c r="O24" s="103" t="str">
        <f t="shared" si="7"/>
        <v>---</v>
      </c>
      <c r="P24" s="85" t="str">
        <f t="shared" si="8"/>
        <v>---</v>
      </c>
      <c r="Q24" s="155">
        <f t="shared" si="9"/>
      </c>
    </row>
    <row r="25" spans="1:17" ht="13.5" customHeight="1">
      <c r="A25" s="26"/>
      <c r="B25" s="103" t="str">
        <f t="shared" si="1"/>
        <v>---</v>
      </c>
      <c r="C25" s="170" t="str">
        <f t="shared" si="2"/>
        <v>---</v>
      </c>
      <c r="D25" s="170" t="str">
        <f t="shared" si="3"/>
        <v>---</v>
      </c>
      <c r="E25" s="170" t="str">
        <f t="shared" si="4"/>
        <v>---</v>
      </c>
      <c r="F25" s="170" t="str">
        <f t="shared" si="5"/>
        <v>---</v>
      </c>
      <c r="G25" s="94"/>
      <c r="H25" s="134" t="str">
        <f t="shared" si="6"/>
        <v>---</v>
      </c>
      <c r="I25" s="170" t="str">
        <f t="shared" si="0"/>
        <v>---</v>
      </c>
      <c r="J25" s="170" t="str">
        <f>IF(Q25="","---",Tech!O25)</f>
        <v>---</v>
      </c>
      <c r="K25" s="170" t="str">
        <f>IF(Q25="b",Tech!N25,"---")</f>
        <v>---</v>
      </c>
      <c r="L25" s="170" t="str">
        <f>IF(Q25="c",Tech!R25,"---")</f>
        <v>---</v>
      </c>
      <c r="M25" s="170" t="str">
        <f>IF(Q25="C",Tech!U25,"---")</f>
        <v>---</v>
      </c>
      <c r="O25" s="103" t="str">
        <f t="shared" si="7"/>
        <v>---</v>
      </c>
      <c r="P25" s="85" t="str">
        <f t="shared" si="8"/>
        <v>---</v>
      </c>
      <c r="Q25" s="155">
        <f t="shared" si="9"/>
      </c>
    </row>
    <row r="26" spans="1:17" ht="13.5" customHeight="1">
      <c r="A26" s="26"/>
      <c r="B26" s="103" t="str">
        <f t="shared" si="1"/>
        <v>---</v>
      </c>
      <c r="C26" s="170" t="str">
        <f t="shared" si="2"/>
        <v>---</v>
      </c>
      <c r="D26" s="170" t="str">
        <f t="shared" si="3"/>
        <v>---</v>
      </c>
      <c r="E26" s="170" t="str">
        <f t="shared" si="4"/>
        <v>---</v>
      </c>
      <c r="F26" s="170" t="str">
        <f t="shared" si="5"/>
        <v>---</v>
      </c>
      <c r="G26" s="94"/>
      <c r="H26" s="134" t="str">
        <f t="shared" si="6"/>
        <v>---</v>
      </c>
      <c r="I26" s="170" t="str">
        <f t="shared" si="0"/>
        <v>---</v>
      </c>
      <c r="J26" s="170" t="str">
        <f>IF(Q26="","---",Tech!O26)</f>
        <v>---</v>
      </c>
      <c r="K26" s="170" t="str">
        <f>IF(Q26="b",Tech!N26,"---")</f>
        <v>---</v>
      </c>
      <c r="L26" s="170" t="str">
        <f>IF(Q26="c",Tech!R26,"---")</f>
        <v>---</v>
      </c>
      <c r="M26" s="170" t="str">
        <f>IF(Q26="C",Tech!U26,"---")</f>
        <v>---</v>
      </c>
      <c r="O26" s="103" t="str">
        <f t="shared" si="7"/>
        <v>---</v>
      </c>
      <c r="P26" s="85" t="str">
        <f t="shared" si="8"/>
        <v>---</v>
      </c>
      <c r="Q26" s="155">
        <f t="shared" si="9"/>
      </c>
    </row>
    <row r="27" spans="1:17" ht="13.5" customHeight="1">
      <c r="A27" s="26"/>
      <c r="B27" s="103" t="str">
        <f t="shared" si="1"/>
        <v>---</v>
      </c>
      <c r="C27" s="170" t="str">
        <f t="shared" si="2"/>
        <v>---</v>
      </c>
      <c r="D27" s="170" t="str">
        <f t="shared" si="3"/>
        <v>---</v>
      </c>
      <c r="E27" s="170" t="str">
        <f t="shared" si="4"/>
        <v>---</v>
      </c>
      <c r="F27" s="170" t="str">
        <f t="shared" si="5"/>
        <v>---</v>
      </c>
      <c r="G27" s="94"/>
      <c r="H27" s="134" t="str">
        <f t="shared" si="6"/>
        <v>---</v>
      </c>
      <c r="I27" s="170" t="str">
        <f t="shared" si="0"/>
        <v>---</v>
      </c>
      <c r="J27" s="170" t="str">
        <f>IF(Q27="","---",Tech!O27)</f>
        <v>---</v>
      </c>
      <c r="K27" s="170" t="str">
        <f>IF(Q27="b",Tech!N27,"---")</f>
        <v>---</v>
      </c>
      <c r="L27" s="170" t="str">
        <f>IF(Q27="c",Tech!R27,"---")</f>
        <v>---</v>
      </c>
      <c r="M27" s="170" t="str">
        <f>IF(Q27="C",Tech!U27,"---")</f>
        <v>---</v>
      </c>
      <c r="O27" s="103" t="str">
        <f t="shared" si="7"/>
        <v>---</v>
      </c>
      <c r="P27" s="85" t="str">
        <f t="shared" si="8"/>
        <v>---</v>
      </c>
      <c r="Q27" s="155">
        <f t="shared" si="9"/>
      </c>
    </row>
    <row r="28" spans="1:17" ht="13.5" customHeight="1">
      <c r="A28" s="26"/>
      <c r="B28" s="103" t="str">
        <f t="shared" si="1"/>
        <v>---</v>
      </c>
      <c r="C28" s="170" t="str">
        <f t="shared" si="2"/>
        <v>---</v>
      </c>
      <c r="D28" s="170" t="str">
        <f t="shared" si="3"/>
        <v>---</v>
      </c>
      <c r="E28" s="170" t="str">
        <f t="shared" si="4"/>
        <v>---</v>
      </c>
      <c r="F28" s="170" t="str">
        <f t="shared" si="5"/>
        <v>---</v>
      </c>
      <c r="G28" s="94"/>
      <c r="H28" s="134" t="str">
        <f t="shared" si="6"/>
        <v>---</v>
      </c>
      <c r="I28" s="170" t="str">
        <f t="shared" si="0"/>
        <v>---</v>
      </c>
      <c r="J28" s="170" t="str">
        <f>IF(Q28="","---",Tech!O28)</f>
        <v>---</v>
      </c>
      <c r="K28" s="170" t="str">
        <f>IF(Q28="b",Tech!N28,"---")</f>
        <v>---</v>
      </c>
      <c r="L28" s="170" t="str">
        <f>IF(Q28="c",Tech!R28,"---")</f>
        <v>---</v>
      </c>
      <c r="M28" s="170" t="str">
        <f>IF(Q28="C",Tech!U28,"---")</f>
        <v>---</v>
      </c>
      <c r="O28" s="103" t="str">
        <f t="shared" si="7"/>
        <v>---</v>
      </c>
      <c r="P28" s="85" t="str">
        <f t="shared" si="8"/>
        <v>---</v>
      </c>
      <c r="Q28" s="155">
        <f t="shared" si="9"/>
      </c>
    </row>
    <row r="29" spans="1:17" ht="13.5" customHeight="1">
      <c r="A29" s="26"/>
      <c r="B29" s="103" t="str">
        <f t="shared" si="1"/>
        <v>---</v>
      </c>
      <c r="C29" s="170" t="str">
        <f t="shared" si="2"/>
        <v>---</v>
      </c>
      <c r="D29" s="170" t="str">
        <f t="shared" si="3"/>
        <v>---</v>
      </c>
      <c r="E29" s="170" t="str">
        <f t="shared" si="4"/>
        <v>---</v>
      </c>
      <c r="F29" s="170" t="str">
        <f t="shared" si="5"/>
        <v>---</v>
      </c>
      <c r="G29" s="94"/>
      <c r="H29" s="134" t="str">
        <f t="shared" si="6"/>
        <v>---</v>
      </c>
      <c r="I29" s="170" t="str">
        <f t="shared" si="0"/>
        <v>---</v>
      </c>
      <c r="J29" s="170" t="str">
        <f>IF(Q29="","---",Tech!O29)</f>
        <v>---</v>
      </c>
      <c r="K29" s="170" t="str">
        <f>IF(Q29="b",Tech!N29,"---")</f>
        <v>---</v>
      </c>
      <c r="L29" s="170" t="str">
        <f>IF(Q29="c",Tech!R29,"---")</f>
        <v>---</v>
      </c>
      <c r="M29" s="170" t="str">
        <f>IF(Q29="C",Tech!U29,"---")</f>
        <v>---</v>
      </c>
      <c r="O29" s="103" t="str">
        <f t="shared" si="7"/>
        <v>---</v>
      </c>
      <c r="P29" s="85" t="str">
        <f t="shared" si="8"/>
        <v>---</v>
      </c>
      <c r="Q29" s="155">
        <f t="shared" si="9"/>
      </c>
    </row>
    <row r="30" spans="1:17" ht="13.5" customHeight="1">
      <c r="A30" s="26"/>
      <c r="B30" s="103" t="str">
        <f t="shared" si="1"/>
        <v>---</v>
      </c>
      <c r="C30" s="170" t="str">
        <f t="shared" si="2"/>
        <v>---</v>
      </c>
      <c r="D30" s="170" t="str">
        <f t="shared" si="3"/>
        <v>---</v>
      </c>
      <c r="E30" s="170" t="str">
        <f t="shared" si="4"/>
        <v>---</v>
      </c>
      <c r="F30" s="170" t="str">
        <f t="shared" si="5"/>
        <v>---</v>
      </c>
      <c r="G30" s="94"/>
      <c r="H30" s="134" t="str">
        <f t="shared" si="6"/>
        <v>---</v>
      </c>
      <c r="I30" s="170" t="str">
        <f t="shared" si="0"/>
        <v>---</v>
      </c>
      <c r="J30" s="170" t="str">
        <f>IF(Q30="","---",Tech!O30)</f>
        <v>---</v>
      </c>
      <c r="K30" s="170" t="str">
        <f>IF(Q30="b",Tech!N30,"---")</f>
        <v>---</v>
      </c>
      <c r="L30" s="170" t="str">
        <f>IF(Q30="c",Tech!R30,"---")</f>
        <v>---</v>
      </c>
      <c r="M30" s="170" t="str">
        <f>IF(Q30="C",Tech!U30,"---")</f>
        <v>---</v>
      </c>
      <c r="O30" s="103" t="str">
        <f t="shared" si="7"/>
        <v>---</v>
      </c>
      <c r="P30" s="85" t="str">
        <f t="shared" si="8"/>
        <v>---</v>
      </c>
      <c r="Q30" s="155">
        <f t="shared" si="9"/>
      </c>
    </row>
    <row r="31" spans="1:17" ht="13.5" customHeight="1">
      <c r="A31" s="26"/>
      <c r="B31" s="103" t="str">
        <f t="shared" si="1"/>
        <v>---</v>
      </c>
      <c r="C31" s="170" t="str">
        <f t="shared" si="2"/>
        <v>---</v>
      </c>
      <c r="D31" s="170" t="str">
        <f t="shared" si="3"/>
        <v>---</v>
      </c>
      <c r="E31" s="170" t="str">
        <f t="shared" si="4"/>
        <v>---</v>
      </c>
      <c r="F31" s="170" t="str">
        <f t="shared" si="5"/>
        <v>---</v>
      </c>
      <c r="G31" s="94"/>
      <c r="H31" s="134" t="str">
        <f t="shared" si="6"/>
        <v>---</v>
      </c>
      <c r="I31" s="170" t="str">
        <f t="shared" si="0"/>
        <v>---</v>
      </c>
      <c r="J31" s="170" t="str">
        <f>IF(Q31="","---",Tech!O31)</f>
        <v>---</v>
      </c>
      <c r="K31" s="170" t="str">
        <f>IF(Q31="b",Tech!N31,"---")</f>
        <v>---</v>
      </c>
      <c r="L31" s="170" t="str">
        <f>IF(Q31="c",Tech!R31,"---")</f>
        <v>---</v>
      </c>
      <c r="M31" s="170" t="str">
        <f>IF(Q31="C",Tech!U31,"---")</f>
        <v>---</v>
      </c>
      <c r="O31" s="103" t="str">
        <f t="shared" si="7"/>
        <v>---</v>
      </c>
      <c r="P31" s="85" t="str">
        <f t="shared" si="8"/>
        <v>---</v>
      </c>
      <c r="Q31" s="155">
        <f t="shared" si="9"/>
      </c>
    </row>
    <row r="32" spans="1:17" ht="13.5" customHeight="1">
      <c r="A32" s="26"/>
      <c r="B32" s="103" t="str">
        <f t="shared" si="1"/>
        <v>---</v>
      </c>
      <c r="C32" s="170" t="str">
        <f t="shared" si="2"/>
        <v>---</v>
      </c>
      <c r="D32" s="170" t="str">
        <f t="shared" si="3"/>
        <v>---</v>
      </c>
      <c r="E32" s="170" t="str">
        <f t="shared" si="4"/>
        <v>---</v>
      </c>
      <c r="F32" s="170" t="str">
        <f t="shared" si="5"/>
        <v>---</v>
      </c>
      <c r="G32" s="94"/>
      <c r="H32" s="134" t="str">
        <f t="shared" si="6"/>
        <v>---</v>
      </c>
      <c r="I32" s="170" t="str">
        <f t="shared" si="0"/>
        <v>---</v>
      </c>
      <c r="J32" s="170" t="str">
        <f>IF(Q32="","---",Tech!O32)</f>
        <v>---</v>
      </c>
      <c r="K32" s="170" t="str">
        <f>IF(Q32="b",Tech!N32,"---")</f>
        <v>---</v>
      </c>
      <c r="L32" s="170" t="str">
        <f>IF(Q32="c",Tech!R32,"---")</f>
        <v>---</v>
      </c>
      <c r="M32" s="170" t="str">
        <f>IF(Q32="C",Tech!U32,"---")</f>
        <v>---</v>
      </c>
      <c r="O32" s="103" t="str">
        <f t="shared" si="7"/>
        <v>---</v>
      </c>
      <c r="P32" s="85" t="str">
        <f t="shared" si="8"/>
        <v>---</v>
      </c>
      <c r="Q32" s="155">
        <f t="shared" si="9"/>
      </c>
    </row>
    <row r="33" spans="1:17" ht="13.5" customHeight="1">
      <c r="A33" s="26"/>
      <c r="B33" s="103" t="str">
        <f t="shared" si="1"/>
        <v>---</v>
      </c>
      <c r="C33" s="170" t="str">
        <f t="shared" si="2"/>
        <v>---</v>
      </c>
      <c r="D33" s="170" t="str">
        <f t="shared" si="3"/>
        <v>---</v>
      </c>
      <c r="E33" s="170" t="str">
        <f t="shared" si="4"/>
        <v>---</v>
      </c>
      <c r="F33" s="170" t="str">
        <f t="shared" si="5"/>
        <v>---</v>
      </c>
      <c r="G33" s="94"/>
      <c r="H33" s="134" t="str">
        <f t="shared" si="6"/>
        <v>---</v>
      </c>
      <c r="I33" s="170" t="str">
        <f t="shared" si="0"/>
        <v>---</v>
      </c>
      <c r="J33" s="170" t="str">
        <f>IF(Q33="","---",Tech!O33)</f>
        <v>---</v>
      </c>
      <c r="K33" s="170" t="str">
        <f>IF(Q33="b",Tech!N33,"---")</f>
        <v>---</v>
      </c>
      <c r="L33" s="170" t="str">
        <f>IF(Q33="c",Tech!R33,"---")</f>
        <v>---</v>
      </c>
      <c r="M33" s="170" t="str">
        <f>IF(Q33="C",Tech!U33,"---")</f>
        <v>---</v>
      </c>
      <c r="O33" s="103" t="str">
        <f t="shared" si="7"/>
        <v>---</v>
      </c>
      <c r="P33" s="85" t="str">
        <f t="shared" si="8"/>
        <v>---</v>
      </c>
      <c r="Q33" s="155">
        <f t="shared" si="9"/>
      </c>
    </row>
    <row r="34" spans="1:17" ht="13.5" customHeight="1">
      <c r="A34" s="26"/>
      <c r="B34" s="103" t="str">
        <f t="shared" si="1"/>
        <v>---</v>
      </c>
      <c r="C34" s="170" t="str">
        <f t="shared" si="2"/>
        <v>---</v>
      </c>
      <c r="D34" s="170" t="str">
        <f t="shared" si="3"/>
        <v>---</v>
      </c>
      <c r="E34" s="170" t="str">
        <f t="shared" si="4"/>
        <v>---</v>
      </c>
      <c r="F34" s="170" t="str">
        <f t="shared" si="5"/>
        <v>---</v>
      </c>
      <c r="G34" s="94"/>
      <c r="H34" s="134" t="str">
        <f t="shared" si="6"/>
        <v>---</v>
      </c>
      <c r="I34" s="170" t="str">
        <f t="shared" si="0"/>
        <v>---</v>
      </c>
      <c r="J34" s="170" t="str">
        <f>IF(Q34="","---",Tech!O34)</f>
        <v>---</v>
      </c>
      <c r="K34" s="170" t="str">
        <f>IF(Q34="b",Tech!N34,"---")</f>
        <v>---</v>
      </c>
      <c r="L34" s="170" t="str">
        <f>IF(Q34="c",Tech!R34,"---")</f>
        <v>---</v>
      </c>
      <c r="M34" s="170" t="str">
        <f>IF(Q34="C",Tech!U34,"---")</f>
        <v>---</v>
      </c>
      <c r="O34" s="103" t="str">
        <f t="shared" si="7"/>
        <v>---</v>
      </c>
      <c r="P34" s="85" t="str">
        <f t="shared" si="8"/>
        <v>---</v>
      </c>
      <c r="Q34" s="155">
        <f t="shared" si="9"/>
      </c>
    </row>
    <row r="35" spans="1:17" ht="13.5" customHeight="1">
      <c r="A35" s="26"/>
      <c r="B35" s="103" t="str">
        <f t="shared" si="1"/>
        <v>---</v>
      </c>
      <c r="C35" s="170" t="str">
        <f t="shared" si="2"/>
        <v>---</v>
      </c>
      <c r="D35" s="170" t="str">
        <f t="shared" si="3"/>
        <v>---</v>
      </c>
      <c r="E35" s="170" t="str">
        <f t="shared" si="4"/>
        <v>---</v>
      </c>
      <c r="F35" s="170" t="str">
        <f t="shared" si="5"/>
        <v>---</v>
      </c>
      <c r="G35" s="94"/>
      <c r="H35" s="134" t="str">
        <f t="shared" si="6"/>
        <v>---</v>
      </c>
      <c r="I35" s="170" t="str">
        <f t="shared" si="0"/>
        <v>---</v>
      </c>
      <c r="J35" s="170" t="str">
        <f>IF(Q35="","---",Tech!O35)</f>
        <v>---</v>
      </c>
      <c r="K35" s="170" t="str">
        <f>IF(Q35="b",Tech!N35,"---")</f>
        <v>---</v>
      </c>
      <c r="L35" s="170" t="str">
        <f>IF(Q35="c",Tech!R35,"---")</f>
        <v>---</v>
      </c>
      <c r="M35" s="170" t="str">
        <f>IF(Q35="C",Tech!U35,"---")</f>
        <v>---</v>
      </c>
      <c r="O35" s="103" t="str">
        <f t="shared" si="7"/>
        <v>---</v>
      </c>
      <c r="P35" s="85" t="str">
        <f t="shared" si="8"/>
        <v>---</v>
      </c>
      <c r="Q35" s="155">
        <f t="shared" si="9"/>
      </c>
    </row>
    <row r="36" spans="1:17" ht="13.5" customHeight="1">
      <c r="A36" s="26"/>
      <c r="B36" s="103" t="str">
        <f t="shared" si="1"/>
        <v>---</v>
      </c>
      <c r="C36" s="170" t="str">
        <f t="shared" si="2"/>
        <v>---</v>
      </c>
      <c r="D36" s="170" t="str">
        <f t="shared" si="3"/>
        <v>---</v>
      </c>
      <c r="E36" s="170" t="str">
        <f t="shared" si="4"/>
        <v>---</v>
      </c>
      <c r="F36" s="170" t="str">
        <f t="shared" si="5"/>
        <v>---</v>
      </c>
      <c r="G36" s="94"/>
      <c r="H36" s="134" t="str">
        <f t="shared" si="6"/>
        <v>---</v>
      </c>
      <c r="I36" s="170" t="str">
        <f t="shared" si="0"/>
        <v>---</v>
      </c>
      <c r="J36" s="170" t="str">
        <f>IF(Q36="","---",Tech!O36)</f>
        <v>---</v>
      </c>
      <c r="K36" s="170" t="str">
        <f>IF(Q36="b",Tech!N36,"---")</f>
        <v>---</v>
      </c>
      <c r="L36" s="170" t="str">
        <f>IF(Q36="c",Tech!R36,"---")</f>
        <v>---</v>
      </c>
      <c r="M36" s="170" t="str">
        <f>IF(Q36="C",Tech!U36,"---")</f>
        <v>---</v>
      </c>
      <c r="O36" s="103" t="str">
        <f t="shared" si="7"/>
        <v>---</v>
      </c>
      <c r="P36" s="85" t="str">
        <f t="shared" si="8"/>
        <v>---</v>
      </c>
      <c r="Q36" s="155">
        <f t="shared" si="9"/>
      </c>
    </row>
    <row r="37" spans="1:17" ht="13.5" customHeight="1">
      <c r="A37" s="26"/>
      <c r="B37" s="103" t="str">
        <f t="shared" si="1"/>
        <v>---</v>
      </c>
      <c r="C37" s="170" t="str">
        <f t="shared" si="2"/>
        <v>---</v>
      </c>
      <c r="D37" s="170" t="str">
        <f t="shared" si="3"/>
        <v>---</v>
      </c>
      <c r="E37" s="170" t="str">
        <f t="shared" si="4"/>
        <v>---</v>
      </c>
      <c r="F37" s="170" t="str">
        <f t="shared" si="5"/>
        <v>---</v>
      </c>
      <c r="G37" s="94"/>
      <c r="H37" s="134" t="str">
        <f t="shared" si="6"/>
        <v>---</v>
      </c>
      <c r="I37" s="170" t="str">
        <f t="shared" si="0"/>
        <v>---</v>
      </c>
      <c r="J37" s="170" t="str">
        <f>IF(Q37="","---",Tech!O37)</f>
        <v>---</v>
      </c>
      <c r="K37" s="170" t="str">
        <f>IF(Q37="b",Tech!N37,"---")</f>
        <v>---</v>
      </c>
      <c r="L37" s="170" t="str">
        <f>IF(Q37="c",Tech!R37,"---")</f>
        <v>---</v>
      </c>
      <c r="M37" s="170" t="str">
        <f>IF(Q37="C",Tech!U37,"---")</f>
        <v>---</v>
      </c>
      <c r="O37" s="103" t="str">
        <f t="shared" si="7"/>
        <v>---</v>
      </c>
      <c r="P37" s="85" t="str">
        <f t="shared" si="8"/>
        <v>---</v>
      </c>
      <c r="Q37" s="155">
        <f t="shared" si="9"/>
      </c>
    </row>
    <row r="38" spans="1:17" ht="13.5" customHeight="1">
      <c r="A38" s="26"/>
      <c r="B38" s="103" t="str">
        <f t="shared" si="1"/>
        <v>---</v>
      </c>
      <c r="C38" s="170" t="str">
        <f t="shared" si="2"/>
        <v>---</v>
      </c>
      <c r="D38" s="170" t="str">
        <f t="shared" si="3"/>
        <v>---</v>
      </c>
      <c r="E38" s="170" t="str">
        <f t="shared" si="4"/>
        <v>---</v>
      </c>
      <c r="F38" s="170" t="str">
        <f t="shared" si="5"/>
        <v>---</v>
      </c>
      <c r="G38" s="94"/>
      <c r="H38" s="134" t="str">
        <f t="shared" si="6"/>
        <v>---</v>
      </c>
      <c r="I38" s="170" t="str">
        <f t="shared" si="0"/>
        <v>---</v>
      </c>
      <c r="J38" s="170" t="str">
        <f>IF(Q38="","---",Tech!O38)</f>
        <v>---</v>
      </c>
      <c r="K38" s="170" t="str">
        <f>IF(Q38="b",Tech!N38,"---")</f>
        <v>---</v>
      </c>
      <c r="L38" s="170" t="str">
        <f>IF(Q38="c",Tech!R38,"---")</f>
        <v>---</v>
      </c>
      <c r="M38" s="170" t="str">
        <f>IF(Q38="C",Tech!U38,"---")</f>
        <v>---</v>
      </c>
      <c r="O38" s="103" t="str">
        <f t="shared" si="7"/>
        <v>---</v>
      </c>
      <c r="P38" s="85" t="str">
        <f t="shared" si="8"/>
        <v>---</v>
      </c>
      <c r="Q38" s="155">
        <f t="shared" si="9"/>
      </c>
    </row>
    <row r="39" spans="1:17" ht="13.5" customHeight="1">
      <c r="A39" s="26"/>
      <c r="B39" s="103" t="str">
        <f t="shared" si="1"/>
        <v>---</v>
      </c>
      <c r="C39" s="170" t="str">
        <f t="shared" si="2"/>
        <v>---</v>
      </c>
      <c r="D39" s="170" t="str">
        <f t="shared" si="3"/>
        <v>---</v>
      </c>
      <c r="E39" s="170" t="str">
        <f t="shared" si="4"/>
        <v>---</v>
      </c>
      <c r="F39" s="170" t="str">
        <f t="shared" si="5"/>
        <v>---</v>
      </c>
      <c r="G39" s="94"/>
      <c r="H39" s="134" t="str">
        <f t="shared" si="6"/>
        <v>---</v>
      </c>
      <c r="I39" s="170" t="str">
        <f t="shared" si="0"/>
        <v>---</v>
      </c>
      <c r="J39" s="170" t="str">
        <f>IF(Q39="","---",Tech!O39)</f>
        <v>---</v>
      </c>
      <c r="K39" s="170" t="str">
        <f>IF(Q39="b",Tech!N39,"---")</f>
        <v>---</v>
      </c>
      <c r="L39" s="170" t="str">
        <f>IF(Q39="c",Tech!R39,"---")</f>
        <v>---</v>
      </c>
      <c r="M39" s="170" t="str">
        <f>IF(Q39="C",Tech!U39,"---")</f>
        <v>---</v>
      </c>
      <c r="O39" s="103" t="str">
        <f t="shared" si="7"/>
        <v>---</v>
      </c>
      <c r="P39" s="85" t="str">
        <f t="shared" si="8"/>
        <v>---</v>
      </c>
      <c r="Q39" s="155">
        <f t="shared" si="9"/>
      </c>
    </row>
    <row r="40" spans="1:17" ht="13.5" customHeight="1">
      <c r="A40" s="26"/>
      <c r="B40" s="103" t="str">
        <f t="shared" si="1"/>
        <v>---</v>
      </c>
      <c r="C40" s="170" t="str">
        <f t="shared" si="2"/>
        <v>---</v>
      </c>
      <c r="D40" s="170" t="str">
        <f t="shared" si="3"/>
        <v>---</v>
      </c>
      <c r="E40" s="170" t="str">
        <f t="shared" si="4"/>
        <v>---</v>
      </c>
      <c r="F40" s="170" t="str">
        <f t="shared" si="5"/>
        <v>---</v>
      </c>
      <c r="G40" s="94"/>
      <c r="H40" s="134" t="str">
        <f t="shared" si="6"/>
        <v>---</v>
      </c>
      <c r="I40" s="170" t="str">
        <f t="shared" si="0"/>
        <v>---</v>
      </c>
      <c r="J40" s="170" t="str">
        <f>IF(Q40="","---",Tech!O40)</f>
        <v>---</v>
      </c>
      <c r="K40" s="170" t="str">
        <f>IF(Q40="b",Tech!N40,"---")</f>
        <v>---</v>
      </c>
      <c r="L40" s="170" t="str">
        <f>IF(Q40="c",Tech!R40,"---")</f>
        <v>---</v>
      </c>
      <c r="M40" s="170" t="str">
        <f>IF(Q40="C",Tech!U40,"---")</f>
        <v>---</v>
      </c>
      <c r="O40" s="103" t="str">
        <f t="shared" si="7"/>
        <v>---</v>
      </c>
      <c r="P40" s="85" t="str">
        <f t="shared" si="8"/>
        <v>---</v>
      </c>
      <c r="Q40" s="155">
        <f t="shared" si="9"/>
      </c>
    </row>
    <row r="41" spans="1:17" ht="13.5" customHeight="1">
      <c r="A41" s="26"/>
      <c r="B41" s="103" t="str">
        <f t="shared" si="1"/>
        <v>---</v>
      </c>
      <c r="C41" s="170" t="str">
        <f t="shared" si="2"/>
        <v>---</v>
      </c>
      <c r="D41" s="170" t="str">
        <f t="shared" si="3"/>
        <v>---</v>
      </c>
      <c r="E41" s="170" t="str">
        <f t="shared" si="4"/>
        <v>---</v>
      </c>
      <c r="F41" s="170" t="str">
        <f t="shared" si="5"/>
        <v>---</v>
      </c>
      <c r="G41" s="94"/>
      <c r="H41" s="134" t="str">
        <f t="shared" si="6"/>
        <v>---</v>
      </c>
      <c r="I41" s="170" t="str">
        <f t="shared" si="0"/>
        <v>---</v>
      </c>
      <c r="J41" s="170" t="str">
        <f>IF(Q41="","---",Tech!O41)</f>
        <v>---</v>
      </c>
      <c r="K41" s="170" t="str">
        <f>IF(Q41="b",Tech!N41,"---")</f>
        <v>---</v>
      </c>
      <c r="L41" s="170" t="str">
        <f>IF(Q41="c",Tech!R41,"---")</f>
        <v>---</v>
      </c>
      <c r="M41" s="170" t="str">
        <f>IF(Q41="C",Tech!U41,"---")</f>
        <v>---</v>
      </c>
      <c r="O41" s="103" t="str">
        <f t="shared" si="7"/>
        <v>---</v>
      </c>
      <c r="P41" s="85" t="str">
        <f t="shared" si="8"/>
        <v>---</v>
      </c>
      <c r="Q41" s="155">
        <f t="shared" si="9"/>
      </c>
    </row>
    <row r="42" spans="1:17" ht="13.5" customHeight="1">
      <c r="A42" s="26"/>
      <c r="B42" s="103" t="str">
        <f t="shared" si="1"/>
        <v>---</v>
      </c>
      <c r="C42" s="170" t="str">
        <f t="shared" si="2"/>
        <v>---</v>
      </c>
      <c r="D42" s="170" t="str">
        <f t="shared" si="3"/>
        <v>---</v>
      </c>
      <c r="E42" s="170" t="str">
        <f t="shared" si="4"/>
        <v>---</v>
      </c>
      <c r="F42" s="170" t="str">
        <f t="shared" si="5"/>
        <v>---</v>
      </c>
      <c r="G42" s="94"/>
      <c r="H42" s="134" t="str">
        <f t="shared" si="6"/>
        <v>---</v>
      </c>
      <c r="I42" s="170" t="str">
        <f t="shared" si="0"/>
        <v>---</v>
      </c>
      <c r="J42" s="170" t="str">
        <f>IF(Q42="","---",Tech!O42)</f>
        <v>---</v>
      </c>
      <c r="K42" s="170" t="str">
        <f>IF(Q42="b",Tech!N42,"---")</f>
        <v>---</v>
      </c>
      <c r="L42" s="170" t="str">
        <f>IF(Q42="c",Tech!R42,"---")</f>
        <v>---</v>
      </c>
      <c r="M42" s="170" t="str">
        <f>IF(Q42="C",Tech!U42,"---")</f>
        <v>---</v>
      </c>
      <c r="O42" s="103" t="str">
        <f t="shared" si="7"/>
        <v>---</v>
      </c>
      <c r="P42" s="85" t="str">
        <f t="shared" si="8"/>
        <v>---</v>
      </c>
      <c r="Q42" s="155">
        <f t="shared" si="9"/>
      </c>
    </row>
    <row r="43" spans="1:17" ht="13.5" customHeight="1">
      <c r="A43" s="26"/>
      <c r="B43" s="103" t="str">
        <f t="shared" si="1"/>
        <v>---</v>
      </c>
      <c r="C43" s="170" t="str">
        <f t="shared" si="2"/>
        <v>---</v>
      </c>
      <c r="D43" s="170" t="str">
        <f t="shared" si="3"/>
        <v>---</v>
      </c>
      <c r="E43" s="170" t="str">
        <f t="shared" si="4"/>
        <v>---</v>
      </c>
      <c r="F43" s="170" t="str">
        <f t="shared" si="5"/>
        <v>---</v>
      </c>
      <c r="G43" s="94"/>
      <c r="H43" s="134" t="str">
        <f t="shared" si="6"/>
        <v>---</v>
      </c>
      <c r="I43" s="170" t="str">
        <f t="shared" si="0"/>
        <v>---</v>
      </c>
      <c r="J43" s="170" t="str">
        <f>IF(Q43="","---",Tech!O43)</f>
        <v>---</v>
      </c>
      <c r="K43" s="170" t="str">
        <f>IF(Q43="b",Tech!N43,"---")</f>
        <v>---</v>
      </c>
      <c r="L43" s="170" t="str">
        <f>IF(Q43="c",Tech!R43,"---")</f>
        <v>---</v>
      </c>
      <c r="M43" s="170" t="str">
        <f>IF(Q43="C",Tech!U43,"---")</f>
        <v>---</v>
      </c>
      <c r="O43" s="103" t="str">
        <f t="shared" si="7"/>
        <v>---</v>
      </c>
      <c r="P43" s="85" t="str">
        <f t="shared" si="8"/>
        <v>---</v>
      </c>
      <c r="Q43" s="155">
        <f t="shared" si="9"/>
      </c>
    </row>
    <row r="44" spans="1:17" ht="13.5" customHeight="1">
      <c r="A44" s="26"/>
      <c r="B44" s="103" t="str">
        <f t="shared" si="1"/>
        <v>---</v>
      </c>
      <c r="C44" s="170" t="str">
        <f t="shared" si="2"/>
        <v>---</v>
      </c>
      <c r="D44" s="170" t="str">
        <f t="shared" si="3"/>
        <v>---</v>
      </c>
      <c r="E44" s="170" t="str">
        <f t="shared" si="4"/>
        <v>---</v>
      </c>
      <c r="F44" s="170" t="str">
        <f t="shared" si="5"/>
        <v>---</v>
      </c>
      <c r="G44" s="94"/>
      <c r="H44" s="134" t="str">
        <f t="shared" si="6"/>
        <v>---</v>
      </c>
      <c r="I44" s="170" t="str">
        <f t="shared" si="0"/>
        <v>---</v>
      </c>
      <c r="J44" s="170" t="str">
        <f>IF(Q44="","---",Tech!O44)</f>
        <v>---</v>
      </c>
      <c r="K44" s="170" t="str">
        <f>IF(Q44="b",Tech!N44,"---")</f>
        <v>---</v>
      </c>
      <c r="L44" s="170" t="str">
        <f>IF(Q44="c",Tech!R44,"---")</f>
        <v>---</v>
      </c>
      <c r="M44" s="170" t="str">
        <f>IF(Q44="C",Tech!U44,"---")</f>
        <v>---</v>
      </c>
      <c r="O44" s="103" t="str">
        <f t="shared" si="7"/>
        <v>---</v>
      </c>
      <c r="P44" s="85" t="str">
        <f t="shared" si="8"/>
        <v>---</v>
      </c>
      <c r="Q44" s="155">
        <f t="shared" si="9"/>
      </c>
    </row>
    <row r="45" spans="1:17" ht="13.5" customHeight="1">
      <c r="A45" s="26"/>
      <c r="B45" s="103" t="str">
        <f t="shared" si="1"/>
        <v>---</v>
      </c>
      <c r="C45" s="170" t="str">
        <f t="shared" si="2"/>
        <v>---</v>
      </c>
      <c r="D45" s="170" t="str">
        <f t="shared" si="3"/>
        <v>---</v>
      </c>
      <c r="E45" s="170" t="str">
        <f t="shared" si="4"/>
        <v>---</v>
      </c>
      <c r="F45" s="170" t="str">
        <f t="shared" si="5"/>
        <v>---</v>
      </c>
      <c r="G45" s="94"/>
      <c r="H45" s="134" t="str">
        <f t="shared" si="6"/>
        <v>---</v>
      </c>
      <c r="I45" s="170" t="str">
        <f t="shared" si="0"/>
        <v>---</v>
      </c>
      <c r="J45" s="170" t="str">
        <f>IF(Q45="","---",Tech!O45)</f>
        <v>---</v>
      </c>
      <c r="K45" s="170" t="str">
        <f>IF(Q45="b",Tech!N45,"---")</f>
        <v>---</v>
      </c>
      <c r="L45" s="170" t="str">
        <f>IF(Q45="c",Tech!R45,"---")</f>
        <v>---</v>
      </c>
      <c r="M45" s="170" t="str">
        <f>IF(Q45="C",Tech!U45,"---")</f>
        <v>---</v>
      </c>
      <c r="O45" s="103" t="str">
        <f t="shared" si="7"/>
        <v>---</v>
      </c>
      <c r="P45" s="85" t="str">
        <f t="shared" si="8"/>
        <v>---</v>
      </c>
      <c r="Q45" s="155">
        <f t="shared" si="9"/>
      </c>
    </row>
    <row r="46" spans="1:17" ht="13.5" customHeight="1">
      <c r="A46" s="26"/>
      <c r="B46" s="103" t="str">
        <f t="shared" si="1"/>
        <v>---</v>
      </c>
      <c r="C46" s="170" t="str">
        <f t="shared" si="2"/>
        <v>---</v>
      </c>
      <c r="D46" s="170" t="str">
        <f t="shared" si="3"/>
        <v>---</v>
      </c>
      <c r="E46" s="170" t="str">
        <f t="shared" si="4"/>
        <v>---</v>
      </c>
      <c r="F46" s="170" t="str">
        <f t="shared" si="5"/>
        <v>---</v>
      </c>
      <c r="G46" s="94"/>
      <c r="H46" s="134" t="str">
        <f t="shared" si="6"/>
        <v>---</v>
      </c>
      <c r="I46" s="170" t="str">
        <f t="shared" si="0"/>
        <v>---</v>
      </c>
      <c r="J46" s="170" t="str">
        <f>IF(Q46="","---",Tech!O46)</f>
        <v>---</v>
      </c>
      <c r="K46" s="170" t="str">
        <f>IF(Q46="b",Tech!N46,"---")</f>
        <v>---</v>
      </c>
      <c r="L46" s="170" t="str">
        <f>IF(Q46="c",Tech!R46,"---")</f>
        <v>---</v>
      </c>
      <c r="M46" s="170" t="str">
        <f>IF(Q46="C",Tech!U46,"---")</f>
        <v>---</v>
      </c>
      <c r="O46" s="103" t="str">
        <f t="shared" si="7"/>
        <v>---</v>
      </c>
      <c r="P46" s="85" t="str">
        <f t="shared" si="8"/>
        <v>---</v>
      </c>
      <c r="Q46" s="155">
        <f t="shared" si="9"/>
      </c>
    </row>
    <row r="47" spans="1:17" ht="13.5" customHeight="1">
      <c r="A47" s="26"/>
      <c r="B47" s="103" t="str">
        <f t="shared" si="1"/>
        <v>---</v>
      </c>
      <c r="C47" s="170" t="str">
        <f t="shared" si="2"/>
        <v>---</v>
      </c>
      <c r="D47" s="170" t="str">
        <f t="shared" si="3"/>
        <v>---</v>
      </c>
      <c r="E47" s="170" t="str">
        <f t="shared" si="4"/>
        <v>---</v>
      </c>
      <c r="F47" s="170" t="str">
        <f t="shared" si="5"/>
        <v>---</v>
      </c>
      <c r="G47" s="94"/>
      <c r="H47" s="134" t="str">
        <f t="shared" si="6"/>
        <v>---</v>
      </c>
      <c r="I47" s="170" t="str">
        <f t="shared" si="0"/>
        <v>---</v>
      </c>
      <c r="J47" s="170" t="str">
        <f>IF(Q47="","---",Tech!O47)</f>
        <v>---</v>
      </c>
      <c r="K47" s="170" t="str">
        <f>IF(Q47="b",Tech!N47,"---")</f>
        <v>---</v>
      </c>
      <c r="L47" s="170" t="str">
        <f>IF(Q47="c",Tech!R47,"---")</f>
        <v>---</v>
      </c>
      <c r="M47" s="170" t="str">
        <f>IF(Q47="C",Tech!U47,"---")</f>
        <v>---</v>
      </c>
      <c r="O47" s="103" t="str">
        <f t="shared" si="7"/>
        <v>---</v>
      </c>
      <c r="P47" s="85" t="str">
        <f t="shared" si="8"/>
        <v>---</v>
      </c>
      <c r="Q47" s="155">
        <f t="shared" si="9"/>
      </c>
    </row>
    <row r="48" spans="1:17" ht="13.5" customHeight="1">
      <c r="A48" s="26"/>
      <c r="B48" s="103" t="str">
        <f t="shared" si="1"/>
        <v>---</v>
      </c>
      <c r="C48" s="170" t="str">
        <f t="shared" si="2"/>
        <v>---</v>
      </c>
      <c r="D48" s="170" t="str">
        <f t="shared" si="3"/>
        <v>---</v>
      </c>
      <c r="E48" s="170" t="str">
        <f t="shared" si="4"/>
        <v>---</v>
      </c>
      <c r="F48" s="170" t="str">
        <f t="shared" si="5"/>
        <v>---</v>
      </c>
      <c r="G48" s="94"/>
      <c r="H48" s="134" t="str">
        <f t="shared" si="6"/>
        <v>---</v>
      </c>
      <c r="I48" s="170" t="str">
        <f t="shared" si="0"/>
        <v>---</v>
      </c>
      <c r="J48" s="170" t="str">
        <f>IF(Q48="","---",Tech!O48)</f>
        <v>---</v>
      </c>
      <c r="K48" s="170" t="str">
        <f>IF(Q48="b",Tech!N48,"---")</f>
        <v>---</v>
      </c>
      <c r="L48" s="170" t="str">
        <f>IF(Q48="c",Tech!R48,"---")</f>
        <v>---</v>
      </c>
      <c r="M48" s="170" t="str">
        <f>IF(Q48="C",Tech!U48,"---")</f>
        <v>---</v>
      </c>
      <c r="O48" s="103" t="str">
        <f t="shared" si="7"/>
        <v>---</v>
      </c>
      <c r="P48" s="85" t="str">
        <f t="shared" si="8"/>
        <v>---</v>
      </c>
      <c r="Q48" s="155">
        <f t="shared" si="9"/>
      </c>
    </row>
    <row r="49" spans="1:17" ht="13.5" customHeight="1">
      <c r="A49" s="26"/>
      <c r="B49" s="103" t="str">
        <f t="shared" si="1"/>
        <v>---</v>
      </c>
      <c r="C49" s="170" t="str">
        <f t="shared" si="2"/>
        <v>---</v>
      </c>
      <c r="D49" s="170" t="str">
        <f t="shared" si="3"/>
        <v>---</v>
      </c>
      <c r="E49" s="170" t="str">
        <f t="shared" si="4"/>
        <v>---</v>
      </c>
      <c r="F49" s="170" t="str">
        <f t="shared" si="5"/>
        <v>---</v>
      </c>
      <c r="G49" s="94"/>
      <c r="H49" s="134" t="str">
        <f t="shared" si="6"/>
        <v>---</v>
      </c>
      <c r="I49" s="170" t="str">
        <f t="shared" si="0"/>
        <v>---</v>
      </c>
      <c r="J49" s="170" t="str">
        <f>IF(Q49="","---",Tech!O49)</f>
        <v>---</v>
      </c>
      <c r="K49" s="170" t="str">
        <f>IF(Q49="b",Tech!N49,"---")</f>
        <v>---</v>
      </c>
      <c r="L49" s="170" t="str">
        <f>IF(Q49="c",Tech!R49,"---")</f>
        <v>---</v>
      </c>
      <c r="M49" s="170" t="str">
        <f>IF(Q49="C",Tech!U49,"---")</f>
        <v>---</v>
      </c>
      <c r="O49" s="103" t="str">
        <f t="shared" si="7"/>
        <v>---</v>
      </c>
      <c r="P49" s="85" t="str">
        <f t="shared" si="8"/>
        <v>---</v>
      </c>
      <c r="Q49" s="155">
        <f t="shared" si="9"/>
      </c>
    </row>
    <row r="50" spans="1:17" ht="13.5" customHeight="1">
      <c r="A50" s="26"/>
      <c r="B50" s="103" t="str">
        <f t="shared" si="1"/>
        <v>---</v>
      </c>
      <c r="C50" s="170" t="str">
        <f t="shared" si="2"/>
        <v>---</v>
      </c>
      <c r="D50" s="170" t="str">
        <f t="shared" si="3"/>
        <v>---</v>
      </c>
      <c r="E50" s="170" t="str">
        <f t="shared" si="4"/>
        <v>---</v>
      </c>
      <c r="F50" s="170" t="str">
        <f t="shared" si="5"/>
        <v>---</v>
      </c>
      <c r="G50" s="94"/>
      <c r="H50" s="134" t="str">
        <f t="shared" si="6"/>
        <v>---</v>
      </c>
      <c r="I50" s="170" t="str">
        <f t="shared" si="0"/>
        <v>---</v>
      </c>
      <c r="J50" s="170" t="str">
        <f>IF(Q50="","---",Tech!O50)</f>
        <v>---</v>
      </c>
      <c r="K50" s="170" t="str">
        <f>IF(Q50="b",Tech!N50,"---")</f>
        <v>---</v>
      </c>
      <c r="L50" s="170" t="str">
        <f>IF(Q50="c",Tech!R50,"---")</f>
        <v>---</v>
      </c>
      <c r="M50" s="170" t="str">
        <f>IF(Q50="C",Tech!U50,"---")</f>
        <v>---</v>
      </c>
      <c r="O50" s="103" t="str">
        <f t="shared" si="7"/>
        <v>---</v>
      </c>
      <c r="P50" s="85" t="str">
        <f t="shared" si="8"/>
        <v>---</v>
      </c>
      <c r="Q50" s="155">
        <f t="shared" si="9"/>
      </c>
    </row>
    <row r="51" spans="1:17" ht="13.5" customHeight="1">
      <c r="A51" s="26"/>
      <c r="B51" s="103" t="str">
        <f t="shared" si="1"/>
        <v>---</v>
      </c>
      <c r="C51" s="170" t="str">
        <f t="shared" si="2"/>
        <v>---</v>
      </c>
      <c r="D51" s="170" t="str">
        <f t="shared" si="3"/>
        <v>---</v>
      </c>
      <c r="E51" s="170" t="str">
        <f t="shared" si="4"/>
        <v>---</v>
      </c>
      <c r="F51" s="170" t="str">
        <f t="shared" si="5"/>
        <v>---</v>
      </c>
      <c r="G51" s="94"/>
      <c r="H51" s="134" t="str">
        <f t="shared" si="6"/>
        <v>---</v>
      </c>
      <c r="I51" s="170" t="str">
        <f t="shared" si="0"/>
        <v>---</v>
      </c>
      <c r="J51" s="170" t="str">
        <f>IF(Q51="","---",Tech!O51)</f>
        <v>---</v>
      </c>
      <c r="K51" s="170" t="str">
        <f>IF(Q51="b",Tech!N51,"---")</f>
        <v>---</v>
      </c>
      <c r="L51" s="170" t="str">
        <f>IF(Q51="c",Tech!R51,"---")</f>
        <v>---</v>
      </c>
      <c r="M51" s="170" t="str">
        <f>IF(Q51="C",Tech!U51,"---")</f>
        <v>---</v>
      </c>
      <c r="O51" s="103" t="str">
        <f t="shared" si="7"/>
        <v>---</v>
      </c>
      <c r="P51" s="85" t="str">
        <f t="shared" si="8"/>
        <v>---</v>
      </c>
      <c r="Q51" s="155">
        <f t="shared" si="9"/>
      </c>
    </row>
    <row r="52" spans="1:17" ht="13.5" customHeight="1">
      <c r="A52" s="26"/>
      <c r="B52" s="103" t="str">
        <f t="shared" si="1"/>
        <v>---</v>
      </c>
      <c r="C52" s="170" t="str">
        <f t="shared" si="2"/>
        <v>---</v>
      </c>
      <c r="D52" s="170" t="str">
        <f t="shared" si="3"/>
        <v>---</v>
      </c>
      <c r="E52" s="170" t="str">
        <f t="shared" si="4"/>
        <v>---</v>
      </c>
      <c r="F52" s="170" t="str">
        <f t="shared" si="5"/>
        <v>---</v>
      </c>
      <c r="G52" s="94"/>
      <c r="H52" s="134" t="str">
        <f t="shared" si="6"/>
        <v>---</v>
      </c>
      <c r="I52" s="170" t="str">
        <f t="shared" si="0"/>
        <v>---</v>
      </c>
      <c r="J52" s="170" t="str">
        <f>IF(Q52="","---",Tech!O52)</f>
        <v>---</v>
      </c>
      <c r="K52" s="170" t="str">
        <f>IF(Q52="b",Tech!N52,"---")</f>
        <v>---</v>
      </c>
      <c r="L52" s="170" t="str">
        <f>IF(Q52="c",Tech!R52,"---")</f>
        <v>---</v>
      </c>
      <c r="M52" s="170" t="str">
        <f>IF(Q52="C",Tech!U52,"---")</f>
        <v>---</v>
      </c>
      <c r="O52" s="103" t="str">
        <f t="shared" si="7"/>
        <v>---</v>
      </c>
      <c r="P52" s="85" t="str">
        <f t="shared" si="8"/>
        <v>---</v>
      </c>
      <c r="Q52" s="155">
        <f t="shared" si="9"/>
      </c>
    </row>
    <row r="53" spans="1:17" ht="13.5" customHeight="1">
      <c r="A53" s="26"/>
      <c r="B53" s="103" t="str">
        <f t="shared" si="1"/>
        <v>---</v>
      </c>
      <c r="C53" s="170" t="str">
        <f t="shared" si="2"/>
        <v>---</v>
      </c>
      <c r="D53" s="170" t="str">
        <f t="shared" si="3"/>
        <v>---</v>
      </c>
      <c r="E53" s="170" t="str">
        <f t="shared" si="4"/>
        <v>---</v>
      </c>
      <c r="F53" s="170" t="str">
        <f t="shared" si="5"/>
        <v>---</v>
      </c>
      <c r="G53" s="94"/>
      <c r="H53" s="134" t="str">
        <f t="shared" si="6"/>
        <v>---</v>
      </c>
      <c r="I53" s="170" t="str">
        <f t="shared" si="0"/>
        <v>---</v>
      </c>
      <c r="J53" s="170" t="str">
        <f>IF(Q53="","---",Tech!O53)</f>
        <v>---</v>
      </c>
      <c r="K53" s="170" t="str">
        <f>IF(Q53="b",Tech!N53,"---")</f>
        <v>---</v>
      </c>
      <c r="L53" s="170" t="str">
        <f>IF(Q53="c",Tech!R53,"---")</f>
        <v>---</v>
      </c>
      <c r="M53" s="170" t="str">
        <f>IF(Q53="C",Tech!U53,"---")</f>
        <v>---</v>
      </c>
      <c r="O53" s="103" t="str">
        <f t="shared" si="7"/>
        <v>---</v>
      </c>
      <c r="P53" s="85" t="str">
        <f t="shared" si="8"/>
        <v>---</v>
      </c>
      <c r="Q53" s="155">
        <f t="shared" si="9"/>
      </c>
    </row>
    <row r="54" spans="1:17" ht="13.5" customHeight="1">
      <c r="A54" s="26"/>
      <c r="B54" s="103" t="str">
        <f t="shared" si="1"/>
        <v>---</v>
      </c>
      <c r="C54" s="170" t="str">
        <f t="shared" si="2"/>
        <v>---</v>
      </c>
      <c r="D54" s="170" t="str">
        <f t="shared" si="3"/>
        <v>---</v>
      </c>
      <c r="E54" s="170" t="str">
        <f t="shared" si="4"/>
        <v>---</v>
      </c>
      <c r="F54" s="170" t="str">
        <f t="shared" si="5"/>
        <v>---</v>
      </c>
      <c r="G54" s="94"/>
      <c r="H54" s="134" t="str">
        <f t="shared" si="6"/>
        <v>---</v>
      </c>
      <c r="I54" s="170" t="str">
        <f t="shared" si="0"/>
        <v>---</v>
      </c>
      <c r="J54" s="170" t="str">
        <f>IF(Q54="","---",Tech!O54)</f>
        <v>---</v>
      </c>
      <c r="K54" s="170" t="str">
        <f>IF(Q54="b",Tech!N54,"---")</f>
        <v>---</v>
      </c>
      <c r="L54" s="170" t="str">
        <f>IF(Q54="c",Tech!R54,"---")</f>
        <v>---</v>
      </c>
      <c r="M54" s="170" t="str">
        <f>IF(Q54="C",Tech!U54,"---")</f>
        <v>---</v>
      </c>
      <c r="O54" s="103" t="str">
        <f t="shared" si="7"/>
        <v>---</v>
      </c>
      <c r="P54" s="85" t="str">
        <f t="shared" si="8"/>
        <v>---</v>
      </c>
      <c r="Q54" s="155">
        <f t="shared" si="9"/>
      </c>
    </row>
    <row r="55" spans="1:17" ht="13.5" customHeight="1">
      <c r="A55" s="26"/>
      <c r="B55" s="103" t="str">
        <f t="shared" si="1"/>
        <v>---</v>
      </c>
      <c r="C55" s="170" t="str">
        <f t="shared" si="2"/>
        <v>---</v>
      </c>
      <c r="D55" s="170" t="str">
        <f t="shared" si="3"/>
        <v>---</v>
      </c>
      <c r="E55" s="170" t="str">
        <f t="shared" si="4"/>
        <v>---</v>
      </c>
      <c r="F55" s="170" t="str">
        <f t="shared" si="5"/>
        <v>---</v>
      </c>
      <c r="G55" s="94"/>
      <c r="H55" s="134" t="str">
        <f t="shared" si="6"/>
        <v>---</v>
      </c>
      <c r="I55" s="170" t="str">
        <f t="shared" si="0"/>
        <v>---</v>
      </c>
      <c r="J55" s="170" t="str">
        <f>IF(Q55="","---",Tech!O55)</f>
        <v>---</v>
      </c>
      <c r="K55" s="170" t="str">
        <f>IF(Q55="b",Tech!N55,"---")</f>
        <v>---</v>
      </c>
      <c r="L55" s="170" t="str">
        <f>IF(Q55="c",Tech!R55,"---")</f>
        <v>---</v>
      </c>
      <c r="M55" s="170" t="str">
        <f>IF(Q55="C",Tech!U55,"---")</f>
        <v>---</v>
      </c>
      <c r="O55" s="103" t="str">
        <f t="shared" si="7"/>
        <v>---</v>
      </c>
      <c r="P55" s="85" t="str">
        <f t="shared" si="8"/>
        <v>---</v>
      </c>
      <c r="Q55" s="155">
        <f t="shared" si="9"/>
      </c>
    </row>
    <row r="56" spans="1:17" ht="13.5" customHeight="1">
      <c r="A56" s="26"/>
      <c r="B56" s="103" t="str">
        <f t="shared" si="1"/>
        <v>---</v>
      </c>
      <c r="C56" s="170" t="str">
        <f t="shared" si="2"/>
        <v>---</v>
      </c>
      <c r="D56" s="170" t="str">
        <f t="shared" si="3"/>
        <v>---</v>
      </c>
      <c r="E56" s="170" t="str">
        <f t="shared" si="4"/>
        <v>---</v>
      </c>
      <c r="F56" s="170" t="str">
        <f t="shared" si="5"/>
        <v>---</v>
      </c>
      <c r="G56" s="94"/>
      <c r="H56" s="134" t="str">
        <f t="shared" si="6"/>
        <v>---</v>
      </c>
      <c r="I56" s="170" t="str">
        <f t="shared" si="0"/>
        <v>---</v>
      </c>
      <c r="J56" s="170" t="str">
        <f>IF(Q56="","---",Tech!O56)</f>
        <v>---</v>
      </c>
      <c r="K56" s="170" t="str">
        <f>IF(Q56="b",Tech!N56,"---")</f>
        <v>---</v>
      </c>
      <c r="L56" s="170" t="str">
        <f>IF(Q56="c",Tech!R56,"---")</f>
        <v>---</v>
      </c>
      <c r="M56" s="170" t="str">
        <f>IF(Q56="C",Tech!U56,"---")</f>
        <v>---</v>
      </c>
      <c r="O56" s="103" t="str">
        <f t="shared" si="7"/>
        <v>---</v>
      </c>
      <c r="P56" s="85" t="str">
        <f t="shared" si="8"/>
        <v>---</v>
      </c>
      <c r="Q56" s="155">
        <f t="shared" si="9"/>
      </c>
    </row>
    <row r="57" spans="1:17" ht="13.5" customHeight="1">
      <c r="A57" s="26"/>
      <c r="B57" s="103" t="str">
        <f t="shared" si="1"/>
        <v>---</v>
      </c>
      <c r="C57" s="170" t="str">
        <f t="shared" si="2"/>
        <v>---</v>
      </c>
      <c r="D57" s="170" t="str">
        <f t="shared" si="3"/>
        <v>---</v>
      </c>
      <c r="E57" s="170" t="str">
        <f t="shared" si="4"/>
        <v>---</v>
      </c>
      <c r="F57" s="170" t="str">
        <f t="shared" si="5"/>
        <v>---</v>
      </c>
      <c r="G57" s="94"/>
      <c r="H57" s="134" t="str">
        <f t="shared" si="6"/>
        <v>---</v>
      </c>
      <c r="I57" s="170" t="str">
        <f t="shared" si="0"/>
        <v>---</v>
      </c>
      <c r="J57" s="170" t="str">
        <f>IF(Q57="","---",Tech!O57)</f>
        <v>---</v>
      </c>
      <c r="K57" s="170" t="str">
        <f>IF(Q57="b",Tech!N57,"---")</f>
        <v>---</v>
      </c>
      <c r="L57" s="170" t="str">
        <f>IF(Q57="c",Tech!R57,"---")</f>
        <v>---</v>
      </c>
      <c r="M57" s="170" t="str">
        <f>IF(Q57="C",Tech!U57,"---")</f>
        <v>---</v>
      </c>
      <c r="O57" s="103" t="str">
        <f t="shared" si="7"/>
        <v>---</v>
      </c>
      <c r="P57" s="85" t="str">
        <f t="shared" si="8"/>
        <v>---</v>
      </c>
      <c r="Q57" s="155">
        <f t="shared" si="9"/>
      </c>
    </row>
    <row r="58" spans="1:17" ht="13.5" customHeight="1">
      <c r="A58" s="26"/>
      <c r="B58" s="103" t="str">
        <f t="shared" si="1"/>
        <v>---</v>
      </c>
      <c r="C58" s="170" t="str">
        <f t="shared" si="2"/>
        <v>---</v>
      </c>
      <c r="D58" s="170" t="str">
        <f t="shared" si="3"/>
        <v>---</v>
      </c>
      <c r="E58" s="170" t="str">
        <f t="shared" si="4"/>
        <v>---</v>
      </c>
      <c r="F58" s="170" t="str">
        <f t="shared" si="5"/>
        <v>---</v>
      </c>
      <c r="G58" s="94"/>
      <c r="H58" s="134" t="str">
        <f t="shared" si="6"/>
        <v>---</v>
      </c>
      <c r="I58" s="170" t="str">
        <f t="shared" si="0"/>
        <v>---</v>
      </c>
      <c r="J58" s="170" t="str">
        <f>IF(Q58="","---",Tech!O58)</f>
        <v>---</v>
      </c>
      <c r="K58" s="170" t="str">
        <f>IF(Q58="b",Tech!N58,"---")</f>
        <v>---</v>
      </c>
      <c r="L58" s="170" t="str">
        <f>IF(Q58="c",Tech!R58,"---")</f>
        <v>---</v>
      </c>
      <c r="M58" s="170" t="str">
        <f>IF(Q58="C",Tech!U58,"---")</f>
        <v>---</v>
      </c>
      <c r="O58" s="103" t="str">
        <f t="shared" si="7"/>
        <v>---</v>
      </c>
      <c r="P58" s="85" t="str">
        <f t="shared" si="8"/>
        <v>---</v>
      </c>
      <c r="Q58" s="155">
        <f t="shared" si="9"/>
      </c>
    </row>
    <row r="59" spans="1:17" ht="13.5" customHeight="1">
      <c r="A59" s="26"/>
      <c r="B59" s="103" t="str">
        <f t="shared" si="1"/>
        <v>---</v>
      </c>
      <c r="C59" s="170" t="str">
        <f t="shared" si="2"/>
        <v>---</v>
      </c>
      <c r="D59" s="170" t="str">
        <f t="shared" si="3"/>
        <v>---</v>
      </c>
      <c r="E59" s="170" t="str">
        <f t="shared" si="4"/>
        <v>---</v>
      </c>
      <c r="F59" s="170" t="str">
        <f t="shared" si="5"/>
        <v>---</v>
      </c>
      <c r="G59" s="94"/>
      <c r="H59" s="134" t="str">
        <f t="shared" si="6"/>
        <v>---</v>
      </c>
      <c r="I59" s="170" t="str">
        <f t="shared" si="0"/>
        <v>---</v>
      </c>
      <c r="J59" s="170" t="str">
        <f>IF(Q59="","---",Tech!O59)</f>
        <v>---</v>
      </c>
      <c r="K59" s="170" t="str">
        <f>IF(Q59="b",Tech!N59,"---")</f>
        <v>---</v>
      </c>
      <c r="L59" s="170" t="str">
        <f>IF(Q59="c",Tech!R59,"---")</f>
        <v>---</v>
      </c>
      <c r="M59" s="170" t="str">
        <f>IF(Q59="C",Tech!U59,"---")</f>
        <v>---</v>
      </c>
      <c r="O59" s="103" t="str">
        <f t="shared" si="7"/>
        <v>---</v>
      </c>
      <c r="P59" s="85" t="str">
        <f t="shared" si="8"/>
        <v>---</v>
      </c>
      <c r="Q59" s="155">
        <f t="shared" si="9"/>
      </c>
    </row>
    <row r="60" spans="1:17" ht="13.5" customHeight="1">
      <c r="A60" s="26"/>
      <c r="B60" s="103" t="str">
        <f t="shared" si="1"/>
        <v>---</v>
      </c>
      <c r="C60" s="170" t="str">
        <f t="shared" si="2"/>
        <v>---</v>
      </c>
      <c r="D60" s="170" t="str">
        <f t="shared" si="3"/>
        <v>---</v>
      </c>
      <c r="E60" s="170" t="str">
        <f t="shared" si="4"/>
        <v>---</v>
      </c>
      <c r="F60" s="170" t="str">
        <f t="shared" si="5"/>
        <v>---</v>
      </c>
      <c r="G60" s="94"/>
      <c r="H60" s="134" t="str">
        <f t="shared" si="6"/>
        <v>---</v>
      </c>
      <c r="I60" s="170" t="str">
        <f t="shared" si="0"/>
        <v>---</v>
      </c>
      <c r="J60" s="170" t="str">
        <f>IF(Q60="","---",Tech!O60)</f>
        <v>---</v>
      </c>
      <c r="K60" s="170" t="str">
        <f>IF(Q60="b",Tech!N60,"---")</f>
        <v>---</v>
      </c>
      <c r="L60" s="170" t="str">
        <f>IF(Q60="c",Tech!R60,"---")</f>
        <v>---</v>
      </c>
      <c r="M60" s="170" t="str">
        <f>IF(Q60="C",Tech!U60,"---")</f>
        <v>---</v>
      </c>
      <c r="O60" s="103" t="str">
        <f t="shared" si="7"/>
        <v>---</v>
      </c>
      <c r="P60" s="85" t="str">
        <f t="shared" si="8"/>
        <v>---</v>
      </c>
      <c r="Q60" s="155">
        <f t="shared" si="9"/>
      </c>
    </row>
    <row r="61" spans="1:17" ht="13.5" customHeight="1">
      <c r="A61" s="26"/>
      <c r="B61" s="103" t="str">
        <f t="shared" si="1"/>
        <v>---</v>
      </c>
      <c r="C61" s="170" t="str">
        <f t="shared" si="2"/>
        <v>---</v>
      </c>
      <c r="D61" s="170" t="str">
        <f t="shared" si="3"/>
        <v>---</v>
      </c>
      <c r="E61" s="170" t="str">
        <f t="shared" si="4"/>
        <v>---</v>
      </c>
      <c r="F61" s="170" t="str">
        <f t="shared" si="5"/>
        <v>---</v>
      </c>
      <c r="G61" s="94"/>
      <c r="H61" s="134" t="str">
        <f t="shared" si="6"/>
        <v>---</v>
      </c>
      <c r="I61" s="170" t="str">
        <f t="shared" si="0"/>
        <v>---</v>
      </c>
      <c r="J61" s="170" t="str">
        <f>IF(Q61="","---",Tech!O61)</f>
        <v>---</v>
      </c>
      <c r="K61" s="170" t="str">
        <f>IF(Q61="b",Tech!N61,"---")</f>
        <v>---</v>
      </c>
      <c r="L61" s="170" t="str">
        <f>IF(Q61="c",Tech!R61,"---")</f>
        <v>---</v>
      </c>
      <c r="M61" s="170" t="str">
        <f>IF(Q61="C",Tech!U61,"---")</f>
        <v>---</v>
      </c>
      <c r="O61" s="103" t="str">
        <f t="shared" si="7"/>
        <v>---</v>
      </c>
      <c r="P61" s="85" t="str">
        <f t="shared" si="8"/>
        <v>---</v>
      </c>
      <c r="Q61" s="155">
        <f t="shared" si="9"/>
      </c>
    </row>
    <row r="62" spans="1:17" ht="13.5" customHeight="1">
      <c r="A62" s="26"/>
      <c r="B62" s="103" t="str">
        <f t="shared" si="1"/>
        <v>---</v>
      </c>
      <c r="C62" s="170" t="str">
        <f t="shared" si="2"/>
        <v>---</v>
      </c>
      <c r="D62" s="170" t="str">
        <f t="shared" si="3"/>
        <v>---</v>
      </c>
      <c r="E62" s="170" t="str">
        <f t="shared" si="4"/>
        <v>---</v>
      </c>
      <c r="F62" s="170" t="str">
        <f t="shared" si="5"/>
        <v>---</v>
      </c>
      <c r="G62" s="94"/>
      <c r="H62" s="134" t="str">
        <f t="shared" si="6"/>
        <v>---</v>
      </c>
      <c r="I62" s="170" t="str">
        <f t="shared" si="0"/>
        <v>---</v>
      </c>
      <c r="J62" s="170" t="str">
        <f>IF(Q62="","---",Tech!O62)</f>
        <v>---</v>
      </c>
      <c r="K62" s="170" t="str">
        <f>IF(Q62="b",Tech!N62,"---")</f>
        <v>---</v>
      </c>
      <c r="L62" s="170" t="str">
        <f>IF(Q62="c",Tech!R62,"---")</f>
        <v>---</v>
      </c>
      <c r="M62" s="170" t="str">
        <f>IF(Q62="C",Tech!U62,"---")</f>
        <v>---</v>
      </c>
      <c r="O62" s="103" t="str">
        <f t="shared" si="7"/>
        <v>---</v>
      </c>
      <c r="P62" s="85" t="str">
        <f t="shared" si="8"/>
        <v>---</v>
      </c>
      <c r="Q62" s="155">
        <f t="shared" si="9"/>
      </c>
    </row>
    <row r="63" spans="1:17" ht="13.5" customHeight="1">
      <c r="A63" s="26"/>
      <c r="B63" s="103" t="str">
        <f t="shared" si="1"/>
        <v>---</v>
      </c>
      <c r="C63" s="170" t="str">
        <f t="shared" si="2"/>
        <v>---</v>
      </c>
      <c r="D63" s="170" t="str">
        <f t="shared" si="3"/>
        <v>---</v>
      </c>
      <c r="E63" s="170" t="str">
        <f t="shared" si="4"/>
        <v>---</v>
      </c>
      <c r="F63" s="170" t="str">
        <f t="shared" si="5"/>
        <v>---</v>
      </c>
      <c r="G63" s="94"/>
      <c r="H63" s="134" t="str">
        <f t="shared" si="6"/>
        <v>---</v>
      </c>
      <c r="I63" s="170" t="str">
        <f t="shared" si="0"/>
        <v>---</v>
      </c>
      <c r="J63" s="170" t="str">
        <f>IF(Q63="","---",Tech!O63)</f>
        <v>---</v>
      </c>
      <c r="K63" s="170" t="str">
        <f>IF(Q63="b",Tech!N63,"---")</f>
        <v>---</v>
      </c>
      <c r="L63" s="170" t="str">
        <f>IF(Q63="c",Tech!R63,"---")</f>
        <v>---</v>
      </c>
      <c r="M63" s="170" t="str">
        <f>IF(Q63="C",Tech!U63,"---")</f>
        <v>---</v>
      </c>
      <c r="O63" s="103" t="str">
        <f t="shared" si="7"/>
        <v>---</v>
      </c>
      <c r="P63" s="85" t="str">
        <f t="shared" si="8"/>
        <v>---</v>
      </c>
      <c r="Q63" s="155">
        <f t="shared" si="9"/>
      </c>
    </row>
    <row r="64" spans="1:17" ht="13.5" customHeight="1">
      <c r="A64" s="26"/>
      <c r="B64" s="103" t="str">
        <f t="shared" si="1"/>
        <v>---</v>
      </c>
      <c r="C64" s="170" t="str">
        <f t="shared" si="2"/>
        <v>---</v>
      </c>
      <c r="D64" s="170" t="str">
        <f t="shared" si="3"/>
        <v>---</v>
      </c>
      <c r="E64" s="170" t="str">
        <f t="shared" si="4"/>
        <v>---</v>
      </c>
      <c r="F64" s="170" t="str">
        <f t="shared" si="5"/>
        <v>---</v>
      </c>
      <c r="G64" s="94"/>
      <c r="H64" s="134" t="str">
        <f t="shared" si="6"/>
        <v>---</v>
      </c>
      <c r="I64" s="170" t="str">
        <f t="shared" si="0"/>
        <v>---</v>
      </c>
      <c r="J64" s="170" t="str">
        <f>IF(Q64="","---",Tech!O64)</f>
        <v>---</v>
      </c>
      <c r="K64" s="170" t="str">
        <f>IF(Q64="b",Tech!N64,"---")</f>
        <v>---</v>
      </c>
      <c r="L64" s="170" t="str">
        <f>IF(Q64="c",Tech!R64,"---")</f>
        <v>---</v>
      </c>
      <c r="M64" s="170" t="str">
        <f>IF(Q64="C",Tech!U64,"---")</f>
        <v>---</v>
      </c>
      <c r="O64" s="103" t="str">
        <f t="shared" si="7"/>
        <v>---</v>
      </c>
      <c r="P64" s="85" t="str">
        <f t="shared" si="8"/>
        <v>---</v>
      </c>
      <c r="Q64" s="155">
        <f t="shared" si="9"/>
      </c>
    </row>
    <row r="65" spans="1:17" ht="13.5" customHeight="1">
      <c r="A65" s="26"/>
      <c r="B65" s="148" t="str">
        <f t="shared" si="1"/>
        <v>---</v>
      </c>
      <c r="C65" s="138" t="str">
        <f t="shared" si="2"/>
        <v>---</v>
      </c>
      <c r="D65" s="138" t="str">
        <f t="shared" si="3"/>
        <v>---</v>
      </c>
      <c r="E65" s="138" t="str">
        <f t="shared" si="4"/>
        <v>---</v>
      </c>
      <c r="F65" s="138" t="str">
        <f t="shared" si="5"/>
        <v>---</v>
      </c>
      <c r="G65" s="94"/>
      <c r="H65" s="179" t="str">
        <f t="shared" si="6"/>
        <v>---</v>
      </c>
      <c r="I65" s="138" t="str">
        <f t="shared" si="0"/>
        <v>---</v>
      </c>
      <c r="J65" s="138" t="str">
        <f>IF(Q65="","---",Tech!O65)</f>
        <v>---</v>
      </c>
      <c r="K65" s="138" t="str">
        <f>IF(Q65="b",Tech!N65,"---")</f>
        <v>---</v>
      </c>
      <c r="L65" s="138" t="str">
        <f>IF(Q65="c",Tech!R65,"---")</f>
        <v>---</v>
      </c>
      <c r="M65" s="138" t="str">
        <f>IF(Q65="C",Tech!U65,"---")</f>
        <v>---</v>
      </c>
      <c r="O65" s="148" t="str">
        <f t="shared" si="7"/>
        <v>---</v>
      </c>
      <c r="P65" s="87" t="str">
        <f t="shared" si="8"/>
        <v>---</v>
      </c>
      <c r="Q65" s="155">
        <f t="shared" si="9"/>
      </c>
    </row>
    <row r="66" spans="1:17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156"/>
      <c r="P66" s="157"/>
      <c r="Q66" s="48"/>
    </row>
    <row r="67" spans="1:14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1:14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4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4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1:14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spans="1:14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14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1:14" ht="12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spans="1:14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spans="1:14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4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4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spans="1:14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1:14" ht="12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</row>
    <row r="88" spans="1:14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1:14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</row>
    <row r="90" spans="1:14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1:14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1:14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</row>
    <row r="93" spans="1:14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</row>
    <row r="94" spans="1:14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</row>
    <row r="95" spans="1:14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</row>
    <row r="96" spans="1:14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</row>
    <row r="97" spans="1:14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1:14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spans="1:14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</row>
    <row r="100" spans="1:14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1:14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1:14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1:14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1:14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</row>
    <row r="105" spans="1:14" ht="12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</row>
    <row r="106" spans="1:14" ht="12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ht="12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1:14" ht="12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1:14" ht="12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</row>
    <row r="110" spans="1:14" ht="12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</row>
    <row r="111" spans="1:14" ht="12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</row>
    <row r="112" spans="1:14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</row>
    <row r="113" spans="1:14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</row>
    <row r="114" spans="1:14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</row>
    <row r="115" spans="1:14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</row>
    <row r="116" spans="1:14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1:14" ht="12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</row>
    <row r="118" spans="1:14" ht="12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</row>
    <row r="119" spans="1:14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</row>
    <row r="120" spans="1:14" ht="12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</row>
    <row r="121" spans="1:14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</row>
    <row r="122" spans="1:14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</row>
    <row r="123" spans="1:14" ht="12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</row>
    <row r="124" spans="1:14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</row>
    <row r="125" spans="1:14" ht="12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</row>
    <row r="126" spans="1:14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</row>
    <row r="127" spans="1:14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</row>
    <row r="128" spans="1:14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</row>
    <row r="129" spans="1:14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</row>
    <row r="130" spans="1:14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</row>
    <row r="131" spans="1:14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</row>
    <row r="132" spans="1:14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</row>
    <row r="133" spans="1:14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</row>
    <row r="134" spans="1:14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</row>
    <row r="135" spans="1:14" ht="12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</row>
    <row r="136" spans="1:14" ht="12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</row>
    <row r="137" spans="1:14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</row>
    <row r="138" spans="1:14" ht="12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</row>
    <row r="139" spans="1:14" ht="12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</row>
    <row r="140" spans="1:14" ht="12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</row>
    <row r="141" spans="1:14" ht="12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</row>
    <row r="142" spans="1:14" ht="12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</row>
    <row r="143" spans="1:14" ht="12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</row>
    <row r="144" spans="1:14" ht="12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</row>
    <row r="145" spans="1:14" ht="12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</row>
    <row r="146" spans="1:14" ht="12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</row>
    <row r="147" spans="1:14" ht="12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</row>
    <row r="148" spans="1:14" ht="12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</row>
    <row r="149" spans="1:14" ht="12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</row>
    <row r="150" spans="1:14" ht="12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</row>
    <row r="151" spans="1:14" ht="12.7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</row>
    <row r="152" spans="1:14" ht="12.7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</row>
    <row r="153" spans="1:14" ht="12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</row>
    <row r="154" spans="1:14" ht="12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</row>
    <row r="155" spans="1:14" ht="12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</row>
    <row r="156" spans="1:14" ht="12.7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</row>
    <row r="157" spans="1:14" ht="12.7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</row>
    <row r="158" spans="1:14" ht="12.7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</row>
    <row r="159" spans="1:14" ht="12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</row>
    <row r="160" spans="1:14" ht="12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</row>
    <row r="161" spans="1:14" ht="12.7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</row>
    <row r="162" spans="1:14" ht="12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</row>
    <row r="163" spans="1:14" ht="12.7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</row>
    <row r="164" spans="1:14" ht="12.7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</row>
    <row r="165" spans="1:14" ht="12.7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</row>
    <row r="166" spans="1:14" ht="12.7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</row>
    <row r="167" spans="1:14" ht="12.7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</row>
    <row r="168" spans="1:14" ht="12.7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</row>
    <row r="169" spans="1:14" ht="12.7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</row>
    <row r="170" spans="1:14" ht="12.7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</row>
    <row r="171" spans="1:14" ht="12.7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</row>
    <row r="172" spans="1:14" ht="12.7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</row>
    <row r="173" spans="1:14" ht="12.7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</row>
    <row r="174" spans="1:14" ht="12.7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</row>
    <row r="175" spans="1:14" ht="12.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</row>
    <row r="176" spans="1:14" ht="12.7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</row>
    <row r="177" spans="1:14" ht="12.7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</row>
    <row r="178" spans="1:14" ht="12.7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</row>
    <row r="179" spans="1:14" ht="12.7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</row>
    <row r="180" spans="1:14" ht="12.7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</row>
    <row r="181" spans="1:14" ht="12.7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</row>
    <row r="182" spans="1:14" ht="12.7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</row>
    <row r="183" spans="1:14" ht="12.7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</row>
    <row r="184" spans="1:14" ht="12.7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</row>
    <row r="185" spans="1:14" ht="12.7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</row>
    <row r="186" spans="1:14" ht="12.7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</row>
    <row r="187" spans="1:14" ht="12.7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</row>
    <row r="188" spans="1:14" ht="12.7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</row>
    <row r="189" spans="1:14" ht="12.7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</row>
    <row r="190" spans="1:14" ht="12.7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</row>
    <row r="191" spans="1:14" ht="12.7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</row>
    <row r="192" spans="1:14" ht="12.7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</row>
    <row r="193" spans="1:14" ht="12.7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</row>
    <row r="194" spans="1:14" ht="12.7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</row>
    <row r="195" spans="1:14" ht="12.7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</row>
    <row r="196" spans="1:14" ht="12.7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</row>
    <row r="197" spans="1:14" ht="12.7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</row>
    <row r="198" spans="1:14" ht="12.7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</row>
    <row r="199" spans="1:14" ht="12.7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</row>
    <row r="200" spans="1:14" ht="12.7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</row>
    <row r="201" spans="1:14" ht="12.7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</row>
    <row r="202" spans="1:14" ht="12.7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</row>
    <row r="203" spans="1:14" ht="12.7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</row>
    <row r="204" spans="1:14" ht="12.7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</row>
    <row r="205" spans="1:14" ht="12.7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</row>
    <row r="206" spans="1:14" ht="12.7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</row>
    <row r="207" spans="1:14" ht="12.7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</row>
    <row r="208" spans="1:14" ht="12.7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</row>
    <row r="209" spans="1:14" ht="12.7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</row>
    <row r="210" spans="1:14" ht="12.7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</row>
    <row r="211" spans="1:14" ht="12.7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</row>
    <row r="212" spans="1:14" ht="12.7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</row>
    <row r="213" spans="1:14" ht="12.7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</row>
    <row r="214" spans="1:14" ht="12.7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</row>
    <row r="215" spans="1:14" ht="12.7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</row>
    <row r="216" spans="1:14" ht="12.7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</row>
    <row r="217" spans="1:14" ht="12.7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</row>
    <row r="218" spans="1:14" ht="12.7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</row>
    <row r="219" spans="1:14" ht="12.7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</row>
    <row r="220" spans="1:14" ht="12.7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</row>
    <row r="221" spans="1:14" ht="12.7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</row>
    <row r="222" spans="1:14" ht="12.7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</row>
    <row r="223" spans="1:14" ht="12.7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</row>
    <row r="224" spans="1:14" ht="12.7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</row>
    <row r="225" spans="1:14" ht="12.7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</row>
    <row r="226" spans="1:14" ht="12.7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</row>
    <row r="227" spans="1:14" ht="12.7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</row>
    <row r="228" spans="1:14" ht="12.7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</row>
    <row r="229" spans="1:14" ht="12.7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</row>
    <row r="230" spans="1:14" ht="12.7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</row>
    <row r="231" spans="1:14" ht="12.7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</row>
    <row r="232" spans="1:14" ht="12.7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</row>
    <row r="233" spans="1:14" ht="12.7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</row>
    <row r="234" spans="1:14" ht="12.7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</row>
    <row r="235" spans="1:14" ht="12.7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</row>
    <row r="236" spans="1:14" ht="12.7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</row>
    <row r="237" spans="1:14" ht="12.7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</row>
    <row r="238" spans="1:14" ht="12.7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</row>
    <row r="239" spans="1:14" ht="12.7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</row>
    <row r="240" spans="1:14" ht="12.7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</row>
    <row r="241" spans="1:14" ht="12.7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</row>
    <row r="242" spans="1:14" ht="12.7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</row>
    <row r="243" spans="1:14" ht="12.7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</row>
    <row r="244" spans="1:14" ht="12.7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</row>
    <row r="245" spans="1:14" ht="12.7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</row>
    <row r="246" spans="1:14" ht="12.7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</row>
    <row r="247" spans="1:14" ht="12.7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</row>
    <row r="248" spans="1:14" ht="12.7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</row>
    <row r="249" spans="1:14" ht="12.7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</row>
    <row r="250" spans="1:14" ht="12.7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</row>
    <row r="251" spans="1:14" ht="12.7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</row>
    <row r="252" spans="1:14" ht="12.7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</row>
    <row r="253" spans="1:14" ht="12.7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</row>
    <row r="254" spans="1:14" ht="12.7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</row>
    <row r="255" spans="1:14" ht="12.7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</row>
    <row r="256" spans="1:14" ht="12.7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</row>
    <row r="257" spans="1:14" ht="12.7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</row>
    <row r="258" spans="1:14" ht="12.7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</row>
    <row r="259" spans="1:14" ht="12.7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</row>
    <row r="260" spans="1:14" ht="12.7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</row>
    <row r="261" spans="1:14" ht="12.7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</row>
    <row r="262" spans="1:14" ht="12.7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</row>
    <row r="263" spans="1:14" ht="12.7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</row>
    <row r="264" spans="1:14" ht="12.7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</row>
    <row r="265" spans="1:14" ht="12.7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</row>
    <row r="266" spans="1:14" ht="12.7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</row>
    <row r="267" spans="2:14" ht="12.75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</row>
    <row r="268" spans="2:14" ht="12.75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</row>
    <row r="269" spans="2:14" ht="12.75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</row>
    <row r="270" spans="2:14" ht="12.75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</row>
    <row r="271" spans="2:14" ht="12.75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</row>
    <row r="272" spans="2:14" ht="12.75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</row>
    <row r="273" spans="2:14" ht="12.75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</row>
    <row r="274" spans="2:14" ht="12.75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</row>
    <row r="275" spans="2:14" ht="12.75"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</row>
    <row r="276" spans="2:14" ht="12.75"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</row>
    <row r="277" spans="2:14" ht="12.75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</row>
    <row r="278" spans="2:14" ht="12.75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</row>
    <row r="279" spans="2:14" ht="12.75"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</row>
    <row r="280" spans="2:14" ht="12.75"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</row>
    <row r="281" spans="2:14" ht="12.75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</row>
    <row r="282" spans="2:14" ht="12.75"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</row>
    <row r="283" spans="2:14" ht="12.75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</row>
    <row r="284" spans="2:14" ht="12.75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</row>
    <row r="285" spans="2:14" ht="12.75"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</row>
    <row r="286" spans="2:14" ht="12.75"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</row>
    <row r="287" spans="2:14" ht="12.75"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</row>
    <row r="288" spans="2:14" ht="12.75"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</row>
    <row r="289" spans="2:14" ht="12.75"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</row>
    <row r="290" spans="2:14" ht="12.75"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</row>
    <row r="291" spans="2:14" ht="12.75"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</row>
    <row r="292" spans="2:14" ht="12.75"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</row>
    <row r="293" spans="2:14" ht="12.75"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</row>
    <row r="294" spans="2:14" ht="12.75"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</row>
    <row r="295" spans="2:14" ht="12.75"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</row>
    <row r="296" spans="2:14" ht="12.75"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</row>
    <row r="297" spans="2:14" ht="12.75"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</row>
    <row r="298" spans="2:14" ht="12.75"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</row>
    <row r="299" spans="2:14" ht="12.75"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</row>
    <row r="300" spans="2:14" ht="12.75"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</row>
    <row r="301" spans="2:14" ht="12.75"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</row>
    <row r="302" spans="2:14" ht="12.75"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</row>
    <row r="303" spans="2:14" ht="12.75"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</row>
    <row r="304" spans="2:14" ht="12.75"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</row>
    <row r="305" spans="2:14" ht="12.75"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</row>
    <row r="306" spans="2:14" ht="12.75"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</row>
    <row r="307" spans="2:14" ht="12.75"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</row>
    <row r="308" spans="2:14" ht="12.75"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</row>
    <row r="309" ht="12.75">
      <c r="N309" s="26"/>
    </row>
    <row r="310" ht="12.75">
      <c r="N310" s="26"/>
    </row>
    <row r="311" ht="12.75">
      <c r="N311" s="26"/>
    </row>
    <row r="312" ht="12.75">
      <c r="N312" s="26"/>
    </row>
    <row r="313" ht="12.75">
      <c r="N313" s="26"/>
    </row>
    <row r="314" ht="12.75">
      <c r="N314" s="26"/>
    </row>
    <row r="315" ht="12.75">
      <c r="N315" s="26"/>
    </row>
    <row r="316" ht="12.75">
      <c r="N316" s="26"/>
    </row>
    <row r="317" ht="12.75">
      <c r="N317" s="26"/>
    </row>
    <row r="318" ht="12.75">
      <c r="N318" s="26"/>
    </row>
    <row r="319" ht="12.75">
      <c r="N319" s="26"/>
    </row>
    <row r="320" ht="12.75">
      <c r="N320" s="26"/>
    </row>
    <row r="321" ht="12.75">
      <c r="N321" s="26"/>
    </row>
    <row r="322" ht="12.75">
      <c r="N322" s="26"/>
    </row>
    <row r="323" ht="12.75">
      <c r="N323" s="26"/>
    </row>
    <row r="324" ht="12.75">
      <c r="N324" s="26"/>
    </row>
    <row r="325" ht="12.75">
      <c r="N325" s="26"/>
    </row>
    <row r="326" ht="12.75">
      <c r="N326" s="26"/>
    </row>
    <row r="327" ht="12.75">
      <c r="N327" s="26"/>
    </row>
    <row r="328" ht="12.75">
      <c r="N328" s="26"/>
    </row>
    <row r="329" ht="12.75">
      <c r="N329" s="26"/>
    </row>
    <row r="330" ht="12.75">
      <c r="N330" s="26"/>
    </row>
    <row r="331" ht="12.75">
      <c r="N331" s="26"/>
    </row>
    <row r="332" ht="12.75">
      <c r="N332" s="26"/>
    </row>
    <row r="333" ht="12.75">
      <c r="N333" s="26"/>
    </row>
    <row r="334" ht="12.75">
      <c r="N334" s="26"/>
    </row>
    <row r="335" ht="12.75">
      <c r="N335" s="26"/>
    </row>
    <row r="336" ht="12.75">
      <c r="N336" s="26"/>
    </row>
    <row r="337" ht="12.75">
      <c r="N337" s="26"/>
    </row>
    <row r="338" ht="12.75">
      <c r="N338" s="26"/>
    </row>
    <row r="339" ht="12.75">
      <c r="N339" s="26"/>
    </row>
    <row r="340" ht="12.75">
      <c r="N340" s="26"/>
    </row>
    <row r="341" ht="12.75">
      <c r="N341" s="26"/>
    </row>
    <row r="342" ht="12.75">
      <c r="N342" s="26"/>
    </row>
    <row r="343" ht="12.75">
      <c r="N343" s="26"/>
    </row>
    <row r="344" ht="12.75">
      <c r="N344" s="26"/>
    </row>
    <row r="345" ht="12.75">
      <c r="N345" s="26"/>
    </row>
    <row r="346" ht="12.75">
      <c r="N346" s="26"/>
    </row>
    <row r="347" ht="12.75">
      <c r="N347" s="26"/>
    </row>
    <row r="348" ht="12.75">
      <c r="N348" s="26"/>
    </row>
    <row r="349" ht="12.75">
      <c r="N349" s="26"/>
    </row>
    <row r="350" ht="12.75">
      <c r="N350" s="26"/>
    </row>
    <row r="351" ht="12.75">
      <c r="N351" s="26"/>
    </row>
    <row r="352" ht="12.75">
      <c r="N352" s="26"/>
    </row>
    <row r="353" ht="12.75">
      <c r="N353" s="26"/>
    </row>
    <row r="354" ht="12.75">
      <c r="N354" s="26"/>
    </row>
    <row r="355" ht="12.75">
      <c r="N355" s="26"/>
    </row>
    <row r="356" ht="12.75">
      <c r="N356" s="26"/>
    </row>
    <row r="357" ht="12.75">
      <c r="N357" s="26"/>
    </row>
    <row r="358" ht="12.75">
      <c r="N358" s="26"/>
    </row>
    <row r="359" ht="12.75">
      <c r="N359" s="26"/>
    </row>
    <row r="360" ht="12.75">
      <c r="N360" s="26"/>
    </row>
    <row r="361" ht="12.75">
      <c r="N361" s="26"/>
    </row>
    <row r="362" ht="12.75">
      <c r="N362" s="26"/>
    </row>
    <row r="363" ht="12.75">
      <c r="N363" s="26"/>
    </row>
    <row r="364" ht="12.75">
      <c r="N364" s="26"/>
    </row>
    <row r="365" ht="12.75">
      <c r="N365" s="26"/>
    </row>
    <row r="366" ht="12.75">
      <c r="N366" s="26"/>
    </row>
    <row r="367" ht="12.75">
      <c r="N367" s="26"/>
    </row>
    <row r="368" ht="12.75">
      <c r="N368" s="26"/>
    </row>
    <row r="369" ht="12.75">
      <c r="N369" s="26"/>
    </row>
    <row r="370" ht="12.75">
      <c r="N370" s="26"/>
    </row>
    <row r="371" ht="12.75">
      <c r="N371" s="26"/>
    </row>
    <row r="372" ht="12.75">
      <c r="N372" s="26"/>
    </row>
    <row r="373" ht="12.75">
      <c r="N373" s="26"/>
    </row>
    <row r="374" ht="12.75">
      <c r="N374" s="26"/>
    </row>
    <row r="375" ht="12.75">
      <c r="N375" s="26"/>
    </row>
    <row r="376" ht="12.75">
      <c r="N376" s="26"/>
    </row>
    <row r="377" ht="12.75">
      <c r="N377" s="26"/>
    </row>
    <row r="378" ht="12.75">
      <c r="N378" s="26"/>
    </row>
    <row r="379" ht="12.75">
      <c r="N379" s="26"/>
    </row>
    <row r="380" ht="12.75">
      <c r="N380" s="26"/>
    </row>
    <row r="381" ht="12.75">
      <c r="N381" s="26"/>
    </row>
    <row r="382" ht="12.75">
      <c r="N382" s="26"/>
    </row>
    <row r="383" ht="12.75">
      <c r="N383" s="26"/>
    </row>
    <row r="384" ht="12.75">
      <c r="N384" s="26"/>
    </row>
    <row r="385" ht="12.75">
      <c r="N385" s="26"/>
    </row>
    <row r="386" ht="12.75">
      <c r="N386" s="26"/>
    </row>
    <row r="387" ht="12.75">
      <c r="N387" s="26"/>
    </row>
    <row r="388" ht="12.75">
      <c r="N388" s="26"/>
    </row>
    <row r="389" ht="12.75">
      <c r="N389" s="26"/>
    </row>
    <row r="390" ht="12.75">
      <c r="N390" s="26"/>
    </row>
    <row r="391" ht="12.75">
      <c r="N391" s="26"/>
    </row>
    <row r="392" ht="12.75">
      <c r="N392" s="26"/>
    </row>
    <row r="393" ht="12.75">
      <c r="N393" s="26"/>
    </row>
    <row r="394" ht="12.75">
      <c r="N394" s="26"/>
    </row>
    <row r="395" ht="12.75">
      <c r="N395" s="26"/>
    </row>
    <row r="396" ht="12.75">
      <c r="N396" s="26"/>
    </row>
    <row r="397" ht="12.75">
      <c r="N397" s="26"/>
    </row>
    <row r="398" ht="12.75">
      <c r="N398" s="26"/>
    </row>
    <row r="399" ht="12.75">
      <c r="N399" s="26"/>
    </row>
    <row r="400" ht="12.75">
      <c r="N400" s="26"/>
    </row>
    <row r="401" ht="12.75">
      <c r="N401" s="26"/>
    </row>
    <row r="402" ht="12.75">
      <c r="N402" s="26"/>
    </row>
    <row r="403" ht="12.75">
      <c r="N403" s="26"/>
    </row>
    <row r="404" ht="12.75">
      <c r="N404" s="26"/>
    </row>
    <row r="405" ht="12.75">
      <c r="N405" s="26"/>
    </row>
    <row r="406" ht="12.75">
      <c r="N406" s="26"/>
    </row>
    <row r="407" ht="12.75">
      <c r="N407" s="26"/>
    </row>
    <row r="408" ht="12.75">
      <c r="N408" s="26"/>
    </row>
    <row r="409" ht="12.75">
      <c r="N409" s="26"/>
    </row>
    <row r="410" ht="12.75">
      <c r="N410" s="26"/>
    </row>
    <row r="411" ht="12.75">
      <c r="N411" s="26"/>
    </row>
    <row r="412" ht="12.75">
      <c r="N412" s="26"/>
    </row>
    <row r="413" ht="12.75">
      <c r="N413" s="26"/>
    </row>
    <row r="414" ht="12.75">
      <c r="N414" s="26"/>
    </row>
    <row r="415" ht="12.75">
      <c r="N415" s="26"/>
    </row>
    <row r="416" ht="12.75">
      <c r="N416" s="26"/>
    </row>
    <row r="417" ht="12.75">
      <c r="N417" s="26"/>
    </row>
    <row r="418" ht="12.75">
      <c r="N418" s="26"/>
    </row>
    <row r="419" ht="12.75">
      <c r="N419" s="26"/>
    </row>
    <row r="420" ht="12.75">
      <c r="N420" s="26"/>
    </row>
    <row r="421" ht="12.75">
      <c r="N421" s="26"/>
    </row>
    <row r="422" ht="12.75">
      <c r="N422" s="26"/>
    </row>
    <row r="423" ht="12.75">
      <c r="N423" s="26"/>
    </row>
    <row r="424" ht="12.75">
      <c r="N424" s="26"/>
    </row>
    <row r="425" ht="12.75">
      <c r="N425" s="26"/>
    </row>
    <row r="426" ht="12.75">
      <c r="N426" s="26"/>
    </row>
    <row r="427" ht="12.75">
      <c r="N427" s="26"/>
    </row>
    <row r="428" ht="12.75">
      <c r="N428" s="26"/>
    </row>
    <row r="429" ht="12.75">
      <c r="N429" s="26"/>
    </row>
    <row r="430" ht="12.75">
      <c r="N430" s="26"/>
    </row>
    <row r="431" ht="12.75">
      <c r="N431" s="26"/>
    </row>
    <row r="432" ht="12.75">
      <c r="N432" s="26"/>
    </row>
    <row r="433" ht="12.75">
      <c r="N433" s="26"/>
    </row>
    <row r="434" ht="12.75">
      <c r="N434" s="26"/>
    </row>
    <row r="435" ht="12.75">
      <c r="N435" s="26"/>
    </row>
    <row r="436" ht="12.75">
      <c r="N436" s="26"/>
    </row>
    <row r="437" ht="12.75">
      <c r="N437" s="26"/>
    </row>
    <row r="438" ht="12.75">
      <c r="N438" s="26"/>
    </row>
    <row r="439" ht="12.75">
      <c r="N439" s="26"/>
    </row>
    <row r="440" ht="12.75">
      <c r="N440" s="26"/>
    </row>
    <row r="441" ht="12.75">
      <c r="N441" s="26"/>
    </row>
    <row r="442" ht="12.75">
      <c r="N442" s="26"/>
    </row>
    <row r="443" ht="12.75">
      <c r="N443" s="26"/>
    </row>
    <row r="444" ht="12.75">
      <c r="N444" s="26"/>
    </row>
    <row r="445" ht="12.75">
      <c r="N445" s="26"/>
    </row>
    <row r="446" ht="12.75">
      <c r="N446" s="26"/>
    </row>
    <row r="447" ht="12.75">
      <c r="N447" s="26"/>
    </row>
    <row r="448" ht="12.75">
      <c r="N448" s="26"/>
    </row>
    <row r="449" ht="12.75">
      <c r="N449" s="26"/>
    </row>
    <row r="450" ht="12.75">
      <c r="N450" s="26"/>
    </row>
    <row r="451" ht="12.75">
      <c r="N451" s="26"/>
    </row>
    <row r="452" ht="12.75">
      <c r="N452" s="26"/>
    </row>
    <row r="453" ht="12.75">
      <c r="N453" s="26"/>
    </row>
    <row r="454" ht="12.75">
      <c r="N454" s="26"/>
    </row>
    <row r="455" ht="12.75">
      <c r="N455" s="26"/>
    </row>
    <row r="456" ht="12.75">
      <c r="N456" s="26"/>
    </row>
    <row r="457" ht="12.75">
      <c r="N457" s="26"/>
    </row>
    <row r="458" ht="12.75">
      <c r="N458" s="26"/>
    </row>
    <row r="459" ht="12.75">
      <c r="N459" s="26"/>
    </row>
    <row r="460" ht="12.75">
      <c r="N460" s="26"/>
    </row>
    <row r="461" ht="12.75">
      <c r="N461" s="26"/>
    </row>
    <row r="462" ht="12.75">
      <c r="N462" s="26"/>
    </row>
    <row r="463" ht="12.75">
      <c r="N463" s="26"/>
    </row>
    <row r="464" ht="12.75">
      <c r="N464" s="26"/>
    </row>
    <row r="465" ht="12.75">
      <c r="N465" s="26"/>
    </row>
    <row r="466" ht="12.75">
      <c r="N466" s="26"/>
    </row>
    <row r="467" ht="12.75">
      <c r="N467" s="26"/>
    </row>
    <row r="468" ht="12.75">
      <c r="N468" s="26"/>
    </row>
    <row r="469" ht="12.75">
      <c r="N469" s="26"/>
    </row>
    <row r="470" ht="12.75">
      <c r="N470" s="26"/>
    </row>
    <row r="471" ht="12.75">
      <c r="N471" s="26"/>
    </row>
    <row r="472" ht="12.75">
      <c r="N472" s="26"/>
    </row>
    <row r="473" ht="12.75">
      <c r="N473" s="26"/>
    </row>
    <row r="474" ht="12.75">
      <c r="N474" s="26"/>
    </row>
    <row r="475" ht="12.75">
      <c r="N475" s="26"/>
    </row>
    <row r="476" ht="12.75">
      <c r="N476" s="26"/>
    </row>
    <row r="477" ht="12.75">
      <c r="N477" s="26"/>
    </row>
    <row r="478" ht="12.75">
      <c r="N478" s="26"/>
    </row>
    <row r="479" ht="12.75">
      <c r="N479" s="26"/>
    </row>
    <row r="480" ht="12.75">
      <c r="N480" s="26"/>
    </row>
    <row r="481" ht="12.75">
      <c r="N481" s="26"/>
    </row>
    <row r="482" ht="12.75">
      <c r="N482" s="26"/>
    </row>
    <row r="483" ht="12.75">
      <c r="N483" s="26"/>
    </row>
    <row r="484" ht="12.75">
      <c r="N484" s="26"/>
    </row>
    <row r="485" ht="12.75">
      <c r="N485" s="26"/>
    </row>
    <row r="486" ht="12.75">
      <c r="N486" s="26"/>
    </row>
    <row r="487" ht="12.75">
      <c r="N487" s="26"/>
    </row>
    <row r="488" ht="12.75">
      <c r="N488" s="26"/>
    </row>
    <row r="489" ht="12.75">
      <c r="N489" s="26"/>
    </row>
    <row r="490" ht="12.75">
      <c r="N490" s="26"/>
    </row>
    <row r="491" ht="12.75">
      <c r="N491" s="26"/>
    </row>
    <row r="492" ht="12.75">
      <c r="N492" s="26"/>
    </row>
    <row r="493" ht="12.75">
      <c r="N493" s="26"/>
    </row>
    <row r="494" ht="12.75">
      <c r="N494" s="26"/>
    </row>
    <row r="495" ht="12.75">
      <c r="N495" s="26"/>
    </row>
    <row r="496" ht="12.75">
      <c r="N496" s="26"/>
    </row>
    <row r="497" ht="12.75">
      <c r="N497" s="26"/>
    </row>
    <row r="498" ht="12.75">
      <c r="N498" s="26"/>
    </row>
    <row r="499" ht="12.75">
      <c r="N499" s="26"/>
    </row>
    <row r="500" ht="12.75">
      <c r="N500" s="26"/>
    </row>
    <row r="501" ht="12.75">
      <c r="N501" s="26"/>
    </row>
    <row r="502" ht="12.75">
      <c r="N502" s="26"/>
    </row>
    <row r="503" ht="12.75">
      <c r="N503" s="26"/>
    </row>
    <row r="504" ht="12.75">
      <c r="N504" s="26"/>
    </row>
    <row r="505" ht="12.75">
      <c r="N505" s="26"/>
    </row>
    <row r="506" ht="12.75">
      <c r="N506" s="26"/>
    </row>
    <row r="507" ht="12.75">
      <c r="N507" s="26"/>
    </row>
    <row r="508" ht="12.75">
      <c r="N508" s="26"/>
    </row>
    <row r="509" ht="12.75">
      <c r="N509" s="26"/>
    </row>
    <row r="510" ht="12.75">
      <c r="N510" s="26"/>
    </row>
    <row r="511" ht="12.75">
      <c r="N511" s="26"/>
    </row>
    <row r="512" ht="12.75">
      <c r="N512" s="26"/>
    </row>
    <row r="513" ht="12.75">
      <c r="N513" s="26"/>
    </row>
    <row r="514" ht="12.75">
      <c r="N514" s="26"/>
    </row>
    <row r="515" ht="12.75">
      <c r="N515" s="26"/>
    </row>
    <row r="516" ht="12.75">
      <c r="N516" s="26"/>
    </row>
    <row r="517" ht="12.75">
      <c r="N517" s="26"/>
    </row>
    <row r="518" ht="12.75">
      <c r="N518" s="26"/>
    </row>
    <row r="519" ht="12.75">
      <c r="N519" s="26"/>
    </row>
    <row r="520" ht="12.75">
      <c r="N520" s="26"/>
    </row>
    <row r="521" ht="12.75">
      <c r="N521" s="26"/>
    </row>
    <row r="522" ht="12.75">
      <c r="N522" s="26"/>
    </row>
    <row r="523" ht="12.75">
      <c r="N523" s="26"/>
    </row>
    <row r="524" ht="12.75">
      <c r="N524" s="26"/>
    </row>
    <row r="525" ht="12.75">
      <c r="N525" s="26"/>
    </row>
    <row r="526" ht="12.75">
      <c r="N526" s="26"/>
    </row>
    <row r="527" ht="12.75">
      <c r="N527" s="26"/>
    </row>
    <row r="528" ht="12.75">
      <c r="N528" s="26"/>
    </row>
    <row r="529" ht="12.75">
      <c r="N529" s="26"/>
    </row>
    <row r="530" ht="12.75">
      <c r="N530" s="26"/>
    </row>
    <row r="531" ht="12.75">
      <c r="N531" s="26"/>
    </row>
    <row r="532" ht="12.75">
      <c r="N532" s="26"/>
    </row>
    <row r="533" ht="12.75">
      <c r="N533" s="26"/>
    </row>
    <row r="534" ht="12.75">
      <c r="N534" s="26"/>
    </row>
    <row r="535" ht="12.75">
      <c r="N535" s="26"/>
    </row>
    <row r="536" ht="12.75">
      <c r="N536" s="26"/>
    </row>
    <row r="537" ht="12.75">
      <c r="N537" s="26"/>
    </row>
    <row r="538" ht="12.75">
      <c r="N538" s="26"/>
    </row>
    <row r="539" ht="12.75">
      <c r="N539" s="26"/>
    </row>
    <row r="540" ht="12.75">
      <c r="N540" s="26"/>
    </row>
    <row r="541" ht="12.75">
      <c r="N541" s="26"/>
    </row>
    <row r="542" ht="12.75">
      <c r="N542" s="26"/>
    </row>
    <row r="543" ht="12.75">
      <c r="N543" s="26"/>
    </row>
    <row r="544" ht="12.75">
      <c r="N544" s="26"/>
    </row>
    <row r="545" ht="12.75">
      <c r="N545" s="26"/>
    </row>
    <row r="546" ht="12.75">
      <c r="N546" s="26"/>
    </row>
    <row r="547" ht="12.75">
      <c r="N547" s="26"/>
    </row>
    <row r="548" ht="12.75">
      <c r="N548" s="26"/>
    </row>
    <row r="549" ht="12.75">
      <c r="N549" s="26"/>
    </row>
    <row r="550" ht="12.75">
      <c r="N550" s="26"/>
    </row>
    <row r="551" ht="12.75">
      <c r="N551" s="26"/>
    </row>
    <row r="552" ht="12.75">
      <c r="N552" s="26"/>
    </row>
    <row r="553" ht="12.75">
      <c r="N553" s="26"/>
    </row>
    <row r="554" ht="12.75">
      <c r="N554" s="26"/>
    </row>
    <row r="555" ht="12.75">
      <c r="N555" s="26"/>
    </row>
    <row r="556" ht="12.75">
      <c r="N556" s="26"/>
    </row>
    <row r="557" ht="12.75">
      <c r="N557" s="26"/>
    </row>
    <row r="558" ht="12.75">
      <c r="N558" s="26"/>
    </row>
    <row r="559" ht="12.75">
      <c r="N559" s="26"/>
    </row>
    <row r="560" ht="12.75">
      <c r="N560" s="26"/>
    </row>
    <row r="561" ht="12.75">
      <c r="N561" s="26"/>
    </row>
    <row r="562" ht="12.75">
      <c r="N562" s="26"/>
    </row>
    <row r="563" ht="12.75">
      <c r="N563" s="26"/>
    </row>
    <row r="564" ht="12.75">
      <c r="N564" s="26"/>
    </row>
    <row r="565" ht="12.75">
      <c r="N565" s="26"/>
    </row>
    <row r="566" ht="12.75">
      <c r="N566" s="26"/>
    </row>
    <row r="567" ht="12.75">
      <c r="N567" s="26"/>
    </row>
    <row r="568" ht="12.75">
      <c r="N568" s="26"/>
    </row>
    <row r="569" ht="12.75">
      <c r="N569" s="26"/>
    </row>
    <row r="570" ht="12.75">
      <c r="N570" s="26"/>
    </row>
    <row r="571" ht="12.75">
      <c r="N571" s="26"/>
    </row>
    <row r="572" ht="12.75">
      <c r="N572" s="26"/>
    </row>
    <row r="573" ht="12.75">
      <c r="N573" s="26"/>
    </row>
    <row r="574" ht="12.75">
      <c r="N574" s="26"/>
    </row>
    <row r="575" ht="12.75">
      <c r="N575" s="26"/>
    </row>
    <row r="576" ht="12.75">
      <c r="N576" s="26"/>
    </row>
    <row r="577" ht="12.75">
      <c r="N577" s="26"/>
    </row>
    <row r="578" ht="12.75">
      <c r="N578" s="26"/>
    </row>
    <row r="579" ht="12.75">
      <c r="N579" s="26"/>
    </row>
    <row r="580" ht="12.75">
      <c r="N580" s="26"/>
    </row>
    <row r="581" ht="12.75">
      <c r="N581" s="26"/>
    </row>
    <row r="582" ht="12.75">
      <c r="N582" s="26"/>
    </row>
    <row r="583" ht="12.75">
      <c r="N583" s="26"/>
    </row>
    <row r="584" ht="12.75">
      <c r="N584" s="26"/>
    </row>
    <row r="585" ht="12.75">
      <c r="N585" s="26"/>
    </row>
    <row r="586" ht="12.75">
      <c r="N586" s="26"/>
    </row>
    <row r="587" ht="12.75">
      <c r="N587" s="26"/>
    </row>
    <row r="588" ht="12.75">
      <c r="N588" s="26"/>
    </row>
    <row r="589" ht="12.75">
      <c r="N589" s="26"/>
    </row>
    <row r="590" ht="12.75">
      <c r="N590" s="26"/>
    </row>
    <row r="591" ht="12.75">
      <c r="N591" s="26"/>
    </row>
    <row r="592" ht="12.75">
      <c r="N592" s="26"/>
    </row>
    <row r="593" ht="12.75">
      <c r="N593" s="26"/>
    </row>
    <row r="594" ht="12.75">
      <c r="N594" s="26"/>
    </row>
    <row r="595" ht="12.75">
      <c r="N595" s="26"/>
    </row>
    <row r="596" ht="12.75">
      <c r="N596" s="26"/>
    </row>
    <row r="597" ht="12.75">
      <c r="N597" s="26"/>
    </row>
    <row r="598" ht="12.75">
      <c r="N598" s="26"/>
    </row>
    <row r="599" ht="12.75">
      <c r="N599" s="26"/>
    </row>
    <row r="600" ht="12.75">
      <c r="N600" s="26"/>
    </row>
    <row r="601" ht="12.75">
      <c r="N601" s="26"/>
    </row>
    <row r="602" ht="12.75">
      <c r="N602" s="26"/>
    </row>
    <row r="603" ht="12.75">
      <c r="N603" s="26"/>
    </row>
    <row r="604" ht="12.75">
      <c r="N604" s="26"/>
    </row>
    <row r="605" ht="12.75">
      <c r="N605" s="26"/>
    </row>
    <row r="606" ht="12.75">
      <c r="N606" s="26"/>
    </row>
    <row r="607" ht="12.75">
      <c r="N607" s="26"/>
    </row>
    <row r="608" ht="12.75">
      <c r="N608" s="26"/>
    </row>
    <row r="609" ht="12.75">
      <c r="N609" s="26"/>
    </row>
    <row r="610" ht="12.75">
      <c r="N610" s="26"/>
    </row>
    <row r="611" ht="12.75">
      <c r="N611" s="26"/>
    </row>
    <row r="612" ht="12.75">
      <c r="N612" s="26"/>
    </row>
    <row r="613" ht="12.75">
      <c r="N613" s="26"/>
    </row>
    <row r="614" ht="12.75">
      <c r="N614" s="26"/>
    </row>
    <row r="615" ht="12.75">
      <c r="N615" s="26"/>
    </row>
    <row r="616" ht="12.75">
      <c r="N616" s="26"/>
    </row>
    <row r="617" ht="12.75">
      <c r="N617" s="26"/>
    </row>
    <row r="618" ht="12.75">
      <c r="N618" s="26"/>
    </row>
    <row r="619" ht="12.75">
      <c r="N619" s="26"/>
    </row>
    <row r="620" ht="12.75">
      <c r="N620" s="26"/>
    </row>
    <row r="621" ht="12.75">
      <c r="N621" s="26"/>
    </row>
    <row r="622" ht="12.75">
      <c r="N622" s="26"/>
    </row>
    <row r="623" ht="12.75">
      <c r="N623" s="26"/>
    </row>
    <row r="624" ht="12.75">
      <c r="N624" s="26"/>
    </row>
    <row r="625" ht="12.75">
      <c r="N625" s="26"/>
    </row>
    <row r="626" ht="12.75">
      <c r="N626" s="26"/>
    </row>
    <row r="627" ht="12.75">
      <c r="N627" s="26"/>
    </row>
    <row r="628" ht="12.75">
      <c r="N628" s="26"/>
    </row>
    <row r="629" ht="12.75">
      <c r="N629" s="26"/>
    </row>
    <row r="630" ht="12.75">
      <c r="N630" s="26"/>
    </row>
    <row r="631" ht="12.75">
      <c r="N631" s="26"/>
    </row>
    <row r="632" ht="12.75">
      <c r="N632" s="26"/>
    </row>
    <row r="633" ht="12.75">
      <c r="N633" s="26"/>
    </row>
    <row r="634" ht="12.75">
      <c r="N634" s="26"/>
    </row>
    <row r="635" ht="12.75">
      <c r="N635" s="26"/>
    </row>
    <row r="636" ht="12.75">
      <c r="N636" s="26"/>
    </row>
    <row r="637" ht="12.75">
      <c r="N637" s="26"/>
    </row>
    <row r="638" ht="12.75">
      <c r="N638" s="26"/>
    </row>
    <row r="639" ht="12.75">
      <c r="N639" s="26"/>
    </row>
    <row r="640" ht="12.75">
      <c r="N640" s="26"/>
    </row>
    <row r="641" ht="12.75">
      <c r="N641" s="26"/>
    </row>
    <row r="642" ht="12.75">
      <c r="N642" s="26"/>
    </row>
    <row r="643" ht="12.75">
      <c r="N643" s="26"/>
    </row>
    <row r="644" ht="12.75">
      <c r="N644" s="26"/>
    </row>
    <row r="645" ht="12.75">
      <c r="N645" s="26"/>
    </row>
    <row r="646" ht="12.75">
      <c r="N646" s="26"/>
    </row>
    <row r="647" ht="12.75">
      <c r="N647" s="26"/>
    </row>
    <row r="648" ht="12.75">
      <c r="N648" s="26"/>
    </row>
    <row r="649" ht="12.75">
      <c r="N649" s="26"/>
    </row>
    <row r="650" ht="12.75">
      <c r="N650" s="26"/>
    </row>
    <row r="651" ht="12.75">
      <c r="N651" s="26"/>
    </row>
    <row r="652" ht="12.75">
      <c r="N652" s="26"/>
    </row>
    <row r="653" ht="12.75">
      <c r="N653" s="26"/>
    </row>
    <row r="654" ht="12.75">
      <c r="N654" s="26"/>
    </row>
    <row r="655" ht="12.75">
      <c r="N655" s="26"/>
    </row>
    <row r="656" ht="12.75">
      <c r="N656" s="26"/>
    </row>
    <row r="657" ht="12.75">
      <c r="N657" s="26"/>
    </row>
    <row r="658" ht="12.75">
      <c r="N658" s="26"/>
    </row>
    <row r="659" ht="12.75">
      <c r="N659" s="26"/>
    </row>
    <row r="660" ht="12.75">
      <c r="N660" s="26"/>
    </row>
    <row r="661" ht="12.75">
      <c r="N661" s="26"/>
    </row>
    <row r="662" ht="12.75">
      <c r="N662" s="26"/>
    </row>
    <row r="663" ht="12.75">
      <c r="N663" s="26"/>
    </row>
    <row r="664" ht="12.75">
      <c r="N664" s="26"/>
    </row>
    <row r="665" ht="12.75">
      <c r="N665" s="26"/>
    </row>
    <row r="666" ht="12.75">
      <c r="N666" s="26"/>
    </row>
    <row r="667" ht="12.75">
      <c r="N667" s="26"/>
    </row>
    <row r="668" ht="12.75">
      <c r="N668" s="26"/>
    </row>
    <row r="669" ht="12.75">
      <c r="N669" s="26"/>
    </row>
    <row r="670" ht="12.75">
      <c r="N670" s="26"/>
    </row>
    <row r="671" ht="12.75">
      <c r="N671" s="26"/>
    </row>
    <row r="672" ht="12.75">
      <c r="N672" s="26"/>
    </row>
    <row r="673" ht="12.75">
      <c r="N673" s="26"/>
    </row>
    <row r="674" ht="12.75">
      <c r="N674" s="26"/>
    </row>
    <row r="675" ht="12.75">
      <c r="N675" s="26"/>
    </row>
    <row r="676" ht="12.75">
      <c r="N676" s="26"/>
    </row>
    <row r="677" ht="12.75">
      <c r="N677" s="26"/>
    </row>
    <row r="678" ht="12.75">
      <c r="N678" s="26"/>
    </row>
    <row r="679" ht="12.75">
      <c r="N679" s="26"/>
    </row>
    <row r="680" ht="12.75">
      <c r="N680" s="26"/>
    </row>
    <row r="681" ht="12.75">
      <c r="N681" s="26"/>
    </row>
    <row r="682" ht="12.75">
      <c r="N682" s="26"/>
    </row>
    <row r="683" ht="12.75">
      <c r="N683" s="26"/>
    </row>
    <row r="684" ht="12.75">
      <c r="N684" s="26"/>
    </row>
    <row r="685" ht="12.75">
      <c r="N685" s="26"/>
    </row>
    <row r="686" ht="12.75">
      <c r="N686" s="26"/>
    </row>
    <row r="687" ht="12.75">
      <c r="N687" s="26"/>
    </row>
    <row r="688" ht="12.75">
      <c r="N688" s="26"/>
    </row>
    <row r="689" ht="12.75">
      <c r="N689" s="26"/>
    </row>
    <row r="690" ht="12.75">
      <c r="N690" s="26"/>
    </row>
    <row r="691" ht="12.75">
      <c r="N691" s="26"/>
    </row>
    <row r="692" ht="12.75">
      <c r="N692" s="26"/>
    </row>
    <row r="693" ht="12.75">
      <c r="N693" s="26"/>
    </row>
    <row r="694" ht="12.75">
      <c r="N694" s="26"/>
    </row>
    <row r="695" ht="12.75">
      <c r="N695" s="26"/>
    </row>
    <row r="696" ht="12.75">
      <c r="N696" s="26"/>
    </row>
    <row r="697" ht="12.75">
      <c r="N697" s="26"/>
    </row>
    <row r="698" ht="12.75">
      <c r="N698" s="26"/>
    </row>
    <row r="699" ht="12.75">
      <c r="N699" s="26"/>
    </row>
    <row r="700" ht="12.75">
      <c r="N700" s="26"/>
    </row>
    <row r="701" ht="12.75">
      <c r="N701" s="26"/>
    </row>
    <row r="702" ht="12.75">
      <c r="N702" s="26"/>
    </row>
    <row r="703" ht="12.75">
      <c r="N703" s="26"/>
    </row>
    <row r="704" ht="12.75">
      <c r="N704" s="26"/>
    </row>
    <row r="705" ht="12.75">
      <c r="N705" s="26"/>
    </row>
    <row r="706" ht="12.75">
      <c r="N706" s="26"/>
    </row>
    <row r="707" ht="12.75">
      <c r="N707" s="26"/>
    </row>
    <row r="708" ht="12.75">
      <c r="N708" s="26"/>
    </row>
    <row r="709" ht="12.75">
      <c r="N709" s="26"/>
    </row>
    <row r="710" ht="12.75">
      <c r="N710" s="26"/>
    </row>
    <row r="711" ht="12.75">
      <c r="N711" s="26"/>
    </row>
    <row r="712" ht="12.75">
      <c r="N712" s="26"/>
    </row>
    <row r="713" ht="12.75">
      <c r="N713" s="26"/>
    </row>
    <row r="714" ht="12.75">
      <c r="N714" s="26"/>
    </row>
    <row r="715" ht="12.75">
      <c r="N715" s="26"/>
    </row>
    <row r="716" ht="12.75">
      <c r="N716" s="26"/>
    </row>
    <row r="717" ht="12.75">
      <c r="N717" s="26"/>
    </row>
    <row r="718" ht="12.75">
      <c r="N718" s="26"/>
    </row>
    <row r="719" ht="12.75">
      <c r="N719" s="26"/>
    </row>
    <row r="720" ht="12.75">
      <c r="N720" s="26"/>
    </row>
    <row r="721" ht="12.75">
      <c r="N721" s="26"/>
    </row>
    <row r="722" ht="12.75">
      <c r="N722" s="26"/>
    </row>
    <row r="723" ht="12.75">
      <c r="N723" s="26"/>
    </row>
    <row r="724" ht="12.75">
      <c r="N724" s="26"/>
    </row>
    <row r="725" ht="12.75">
      <c r="N725" s="26"/>
    </row>
    <row r="726" ht="12.75">
      <c r="N726" s="26"/>
    </row>
    <row r="727" ht="12.75">
      <c r="N727" s="26"/>
    </row>
    <row r="728" ht="12.75">
      <c r="N728" s="26"/>
    </row>
    <row r="729" ht="12.75">
      <c r="N729" s="26"/>
    </row>
    <row r="730" ht="12.75">
      <c r="N730" s="26"/>
    </row>
    <row r="731" ht="12.75">
      <c r="N731" s="26"/>
    </row>
    <row r="732" ht="12.75">
      <c r="N732" s="26"/>
    </row>
    <row r="733" ht="12.75">
      <c r="N733" s="26"/>
    </row>
    <row r="734" ht="12.75">
      <c r="N734" s="26"/>
    </row>
    <row r="735" ht="12.75">
      <c r="N735" s="26"/>
    </row>
    <row r="736" ht="12.75">
      <c r="N736" s="26"/>
    </row>
    <row r="737" ht="12.75">
      <c r="N737" s="26"/>
    </row>
    <row r="738" ht="12.75">
      <c r="N738" s="26"/>
    </row>
    <row r="739" ht="12.75">
      <c r="N739" s="26"/>
    </row>
    <row r="740" ht="12.75">
      <c r="N740" s="26"/>
    </row>
    <row r="741" ht="12.75">
      <c r="N741" s="26"/>
    </row>
    <row r="742" ht="12.75">
      <c r="N742" s="26"/>
    </row>
    <row r="743" ht="12.75">
      <c r="N743" s="26"/>
    </row>
    <row r="744" ht="12.75">
      <c r="N744" s="26"/>
    </row>
    <row r="745" ht="12.75">
      <c r="N745" s="26"/>
    </row>
    <row r="746" ht="12.75">
      <c r="N746" s="26"/>
    </row>
    <row r="747" ht="12.75">
      <c r="N747" s="26"/>
    </row>
    <row r="748" ht="12.75">
      <c r="N748" s="26"/>
    </row>
    <row r="749" ht="12.75">
      <c r="N749" s="26"/>
    </row>
    <row r="750" ht="12.75">
      <c r="N750" s="26"/>
    </row>
    <row r="751" ht="12.75">
      <c r="N751" s="26"/>
    </row>
    <row r="752" ht="12.75">
      <c r="N752" s="26"/>
    </row>
    <row r="753" ht="12.75">
      <c r="N753" s="26"/>
    </row>
    <row r="754" ht="12.75">
      <c r="N754" s="26"/>
    </row>
    <row r="755" ht="12.75">
      <c r="N755" s="26"/>
    </row>
    <row r="756" ht="12.75">
      <c r="N756" s="26"/>
    </row>
    <row r="757" ht="12.75">
      <c r="N757" s="26"/>
    </row>
    <row r="758" ht="12.75">
      <c r="N758" s="26"/>
    </row>
    <row r="759" ht="12.75">
      <c r="N759" s="26"/>
    </row>
    <row r="760" ht="12.75">
      <c r="N760" s="26"/>
    </row>
    <row r="761" ht="12.75">
      <c r="N761" s="26"/>
    </row>
    <row r="762" ht="12.75">
      <c r="N762" s="26"/>
    </row>
    <row r="763" ht="12.75">
      <c r="N763" s="26"/>
    </row>
    <row r="764" ht="12.75">
      <c r="N764" s="26"/>
    </row>
    <row r="765" ht="12.75">
      <c r="N765" s="26"/>
    </row>
    <row r="766" ht="12.75">
      <c r="N766" s="26"/>
    </row>
    <row r="767" ht="12.75">
      <c r="N767" s="26"/>
    </row>
    <row r="768" ht="12.75">
      <c r="N768" s="26"/>
    </row>
    <row r="769" ht="12.75">
      <c r="N769" s="26"/>
    </row>
    <row r="770" ht="12.75">
      <c r="N770" s="26"/>
    </row>
    <row r="771" ht="12.75">
      <c r="N771" s="26"/>
    </row>
    <row r="772" ht="12.75">
      <c r="N772" s="26"/>
    </row>
    <row r="773" ht="12.75">
      <c r="N773" s="26"/>
    </row>
    <row r="774" ht="12.75">
      <c r="N774" s="26"/>
    </row>
    <row r="775" ht="12.75">
      <c r="N775" s="26"/>
    </row>
    <row r="776" ht="12.75">
      <c r="N776" s="26"/>
    </row>
    <row r="777" ht="12.75">
      <c r="N777" s="26"/>
    </row>
    <row r="778" ht="12.75">
      <c r="N778" s="26"/>
    </row>
    <row r="779" ht="12.75">
      <c r="N779" s="26"/>
    </row>
    <row r="780" ht="12.75">
      <c r="N780" s="26"/>
    </row>
    <row r="781" ht="12.75">
      <c r="N781" s="26"/>
    </row>
    <row r="782" ht="12.75">
      <c r="N782" s="26"/>
    </row>
    <row r="783" ht="12.75">
      <c r="N783" s="26"/>
    </row>
    <row r="784" ht="12.75">
      <c r="N784" s="26"/>
    </row>
    <row r="785" ht="12.75">
      <c r="N785" s="26"/>
    </row>
    <row r="786" ht="12.75">
      <c r="N786" s="26"/>
    </row>
    <row r="787" ht="12.75">
      <c r="N787" s="26"/>
    </row>
    <row r="788" ht="12.75">
      <c r="N788" s="26"/>
    </row>
    <row r="789" ht="12.75">
      <c r="N789" s="26"/>
    </row>
    <row r="790" ht="12.75">
      <c r="N790" s="26"/>
    </row>
    <row r="791" ht="12.75">
      <c r="N791" s="26"/>
    </row>
    <row r="792" ht="12.75">
      <c r="N792" s="26"/>
    </row>
    <row r="793" ht="12.75">
      <c r="N793" s="26"/>
    </row>
    <row r="794" ht="12.75">
      <c r="N794" s="26"/>
    </row>
    <row r="795" ht="12.75">
      <c r="N795" s="26"/>
    </row>
    <row r="796" ht="12.75">
      <c r="N796" s="26"/>
    </row>
    <row r="797" ht="12.75">
      <c r="N797" s="26"/>
    </row>
    <row r="798" ht="12.75">
      <c r="N798" s="26"/>
    </row>
    <row r="799" ht="12.75">
      <c r="N799" s="26"/>
    </row>
    <row r="800" ht="12.75">
      <c r="N800" s="26"/>
    </row>
    <row r="801" ht="12.75">
      <c r="N801" s="26"/>
    </row>
    <row r="802" ht="12.75">
      <c r="N802" s="26"/>
    </row>
    <row r="803" ht="12.75">
      <c r="N803" s="26"/>
    </row>
    <row r="804" ht="12.75">
      <c r="N804" s="26"/>
    </row>
    <row r="805" ht="12.75">
      <c r="N805" s="26"/>
    </row>
    <row r="806" ht="12.75">
      <c r="N806" s="26"/>
    </row>
    <row r="807" ht="12.75">
      <c r="N807" s="26"/>
    </row>
    <row r="808" ht="12.75">
      <c r="N808" s="26"/>
    </row>
    <row r="809" ht="12.75">
      <c r="N809" s="26"/>
    </row>
    <row r="810" ht="12.75">
      <c r="N810" s="26"/>
    </row>
    <row r="811" ht="12.75">
      <c r="N811" s="26"/>
    </row>
    <row r="812" ht="12.75">
      <c r="N812" s="26"/>
    </row>
    <row r="813" ht="12.75">
      <c r="N813" s="26"/>
    </row>
    <row r="814" ht="12.75">
      <c r="N814" s="26"/>
    </row>
    <row r="815" ht="12.75">
      <c r="N815" s="26"/>
    </row>
    <row r="816" ht="12.75">
      <c r="N816" s="26"/>
    </row>
    <row r="817" ht="12.75">
      <c r="N817" s="26"/>
    </row>
    <row r="818" ht="12.75">
      <c r="N818" s="26"/>
    </row>
    <row r="819" ht="12.75">
      <c r="N819" s="26"/>
    </row>
    <row r="820" ht="12.75">
      <c r="N820" s="26"/>
    </row>
    <row r="821" ht="12.75">
      <c r="N821" s="26"/>
    </row>
    <row r="822" ht="12.75">
      <c r="N822" s="26"/>
    </row>
    <row r="823" ht="12.75">
      <c r="N823" s="26"/>
    </row>
    <row r="824" ht="12.75">
      <c r="N824" s="26"/>
    </row>
    <row r="825" ht="12.75">
      <c r="N825" s="26"/>
    </row>
    <row r="826" ht="12.75">
      <c r="N826" s="26"/>
    </row>
    <row r="827" ht="12.75">
      <c r="N827" s="26"/>
    </row>
    <row r="828" ht="12.75">
      <c r="N828" s="26"/>
    </row>
    <row r="829" ht="12.75">
      <c r="N829" s="26"/>
    </row>
    <row r="830" ht="12.75">
      <c r="N830" s="26"/>
    </row>
    <row r="831" ht="12.75">
      <c r="N831" s="26"/>
    </row>
    <row r="832" ht="12.75">
      <c r="N832" s="26"/>
    </row>
    <row r="833" ht="12.75">
      <c r="N833" s="26"/>
    </row>
    <row r="834" ht="12.75">
      <c r="N834" s="26"/>
    </row>
    <row r="835" ht="12.75">
      <c r="N835" s="26"/>
    </row>
    <row r="836" ht="12.75">
      <c r="N836" s="26"/>
    </row>
    <row r="837" ht="12.75">
      <c r="N837" s="26"/>
    </row>
    <row r="838" ht="12.75">
      <c r="N838" s="26"/>
    </row>
    <row r="839" ht="12.75">
      <c r="N839" s="26"/>
    </row>
    <row r="840" ht="12.75">
      <c r="N840" s="26"/>
    </row>
    <row r="841" ht="12.75">
      <c r="N841" s="26"/>
    </row>
    <row r="842" ht="12.75">
      <c r="N842" s="26"/>
    </row>
    <row r="843" ht="12.75">
      <c r="N843" s="26"/>
    </row>
    <row r="844" ht="12.75">
      <c r="N844" s="26"/>
    </row>
    <row r="845" ht="12.75">
      <c r="N845" s="26"/>
    </row>
    <row r="846" ht="12.75">
      <c r="N846" s="26"/>
    </row>
    <row r="847" ht="12.75">
      <c r="N847" s="26"/>
    </row>
    <row r="848" ht="12.75">
      <c r="N848" s="26"/>
    </row>
    <row r="849" ht="12.75">
      <c r="N849" s="26"/>
    </row>
    <row r="850" ht="12.75">
      <c r="N850" s="26"/>
    </row>
    <row r="851" ht="12.75">
      <c r="N851" s="26"/>
    </row>
    <row r="852" ht="12.75">
      <c r="N852" s="26"/>
    </row>
    <row r="853" ht="12.75">
      <c r="N853" s="26"/>
    </row>
    <row r="854" ht="12.75">
      <c r="N854" s="26"/>
    </row>
    <row r="855" ht="12.75">
      <c r="N855" s="26"/>
    </row>
    <row r="856" ht="12.75">
      <c r="N856" s="26"/>
    </row>
    <row r="857" ht="12.75">
      <c r="N857" s="26"/>
    </row>
    <row r="858" ht="12.75">
      <c r="N858" s="26"/>
    </row>
    <row r="859" ht="12.75">
      <c r="N859" s="26"/>
    </row>
    <row r="860" ht="12.75">
      <c r="N860" s="26"/>
    </row>
    <row r="861" ht="12.75">
      <c r="N861" s="26"/>
    </row>
    <row r="862" ht="12.75">
      <c r="N862" s="26"/>
    </row>
    <row r="863" ht="12.75">
      <c r="N863" s="26"/>
    </row>
    <row r="864" ht="12.75">
      <c r="N864" s="26"/>
    </row>
    <row r="865" ht="12.75">
      <c r="N865" s="26"/>
    </row>
    <row r="866" ht="12.75">
      <c r="N866" s="26"/>
    </row>
    <row r="867" ht="12.75">
      <c r="N867" s="26"/>
    </row>
    <row r="868" ht="12.75">
      <c r="N868" s="26"/>
    </row>
    <row r="869" ht="12.75">
      <c r="N869" s="26"/>
    </row>
    <row r="870" ht="12.75">
      <c r="N870" s="26"/>
    </row>
    <row r="871" ht="12.75">
      <c r="N871" s="26"/>
    </row>
    <row r="872" ht="12.75">
      <c r="N872" s="26"/>
    </row>
    <row r="873" ht="12.75">
      <c r="N873" s="26"/>
    </row>
    <row r="874" ht="12.75">
      <c r="N874" s="26"/>
    </row>
    <row r="875" ht="12.75">
      <c r="N875" s="26"/>
    </row>
    <row r="876" ht="12.75">
      <c r="N876" s="26"/>
    </row>
    <row r="877" ht="12.75">
      <c r="N877" s="26"/>
    </row>
    <row r="878" ht="12.75">
      <c r="N878" s="26"/>
    </row>
    <row r="879" ht="12.75">
      <c r="N879" s="26"/>
    </row>
    <row r="880" ht="12.75">
      <c r="N880" s="26"/>
    </row>
    <row r="881" ht="12.75">
      <c r="N881" s="26"/>
    </row>
    <row r="882" ht="12.75">
      <c r="N882" s="26"/>
    </row>
    <row r="883" ht="12.75">
      <c r="N883" s="26"/>
    </row>
    <row r="884" ht="12.75">
      <c r="N884" s="26"/>
    </row>
    <row r="885" ht="12.75">
      <c r="N885" s="26"/>
    </row>
    <row r="886" ht="12.75">
      <c r="N886" s="26"/>
    </row>
    <row r="887" ht="12.75">
      <c r="N887" s="26"/>
    </row>
    <row r="888" ht="12.75">
      <c r="N888" s="26"/>
    </row>
    <row r="889" ht="12.75">
      <c r="N889" s="26"/>
    </row>
    <row r="890" ht="12.75">
      <c r="N890" s="26"/>
    </row>
    <row r="891" ht="12.75">
      <c r="N891" s="26"/>
    </row>
    <row r="892" ht="12.75">
      <c r="N892" s="26"/>
    </row>
    <row r="893" ht="12.75">
      <c r="N893" s="26"/>
    </row>
    <row r="894" ht="12.75">
      <c r="N894" s="26"/>
    </row>
    <row r="895" ht="12.75">
      <c r="N895" s="26"/>
    </row>
    <row r="896" ht="12.75">
      <c r="N896" s="26"/>
    </row>
    <row r="897" ht="12.75">
      <c r="N897" s="26"/>
    </row>
    <row r="898" ht="12.75">
      <c r="N898" s="26"/>
    </row>
    <row r="899" ht="12.75">
      <c r="N899" s="26"/>
    </row>
    <row r="900" ht="12.75">
      <c r="N900" s="26"/>
    </row>
    <row r="901" ht="12.75">
      <c r="N901" s="26"/>
    </row>
    <row r="902" ht="12.75">
      <c r="N902" s="26"/>
    </row>
    <row r="903" ht="12.75">
      <c r="N903" s="26"/>
    </row>
    <row r="904" ht="12.75">
      <c r="N904" s="26"/>
    </row>
    <row r="905" ht="12.75">
      <c r="N905" s="26"/>
    </row>
    <row r="906" ht="12.75">
      <c r="N906" s="26"/>
    </row>
    <row r="907" ht="12.75">
      <c r="N907" s="26"/>
    </row>
    <row r="908" ht="12.75">
      <c r="N908" s="26"/>
    </row>
    <row r="909" ht="12.75">
      <c r="N909" s="26"/>
    </row>
    <row r="910" ht="12.75">
      <c r="N910" s="26"/>
    </row>
    <row r="911" ht="12.75">
      <c r="N911" s="26"/>
    </row>
    <row r="912" ht="12.75">
      <c r="N912" s="26"/>
    </row>
    <row r="913" ht="12.75">
      <c r="N913" s="26"/>
    </row>
    <row r="914" ht="12.75">
      <c r="N914" s="26"/>
    </row>
    <row r="915" ht="12.75">
      <c r="N915" s="26"/>
    </row>
    <row r="916" ht="12.75">
      <c r="N916" s="26"/>
    </row>
    <row r="917" ht="12.75">
      <c r="N917" s="26"/>
    </row>
    <row r="918" ht="12.75">
      <c r="N918" s="26"/>
    </row>
    <row r="919" ht="12.75">
      <c r="N919" s="26"/>
    </row>
    <row r="920" ht="12.75">
      <c r="N920" s="26"/>
    </row>
    <row r="921" ht="12.75">
      <c r="N921" s="26"/>
    </row>
    <row r="922" ht="12.75">
      <c r="N922" s="26"/>
    </row>
    <row r="923" ht="12.75">
      <c r="N923" s="26"/>
    </row>
    <row r="924" ht="12.75">
      <c r="N924" s="26"/>
    </row>
    <row r="925" ht="12.75">
      <c r="N925" s="26"/>
    </row>
    <row r="926" ht="12.75">
      <c r="N926" s="26"/>
    </row>
    <row r="927" ht="12.75">
      <c r="N927" s="26"/>
    </row>
    <row r="928" ht="12.75">
      <c r="N928" s="26"/>
    </row>
    <row r="929" ht="12.75">
      <c r="N929" s="26"/>
    </row>
    <row r="930" ht="12.75">
      <c r="N930" s="26"/>
    </row>
    <row r="931" ht="12.75">
      <c r="N931" s="26"/>
    </row>
    <row r="932" ht="12.75">
      <c r="N932" s="26"/>
    </row>
    <row r="933" ht="12.75">
      <c r="N933" s="26"/>
    </row>
    <row r="934" ht="12.75">
      <c r="N934" s="26"/>
    </row>
    <row r="935" ht="12.75">
      <c r="N935" s="26"/>
    </row>
    <row r="936" ht="12.75">
      <c r="N936" s="26"/>
    </row>
    <row r="937" ht="12.75">
      <c r="N937" s="26"/>
    </row>
    <row r="938" ht="12.75">
      <c r="N938" s="26"/>
    </row>
    <row r="939" ht="12.75">
      <c r="N939" s="26"/>
    </row>
    <row r="940" ht="12.75">
      <c r="N940" s="26"/>
    </row>
    <row r="941" ht="12.75">
      <c r="N941" s="26"/>
    </row>
    <row r="942" ht="12.75">
      <c r="N942" s="26"/>
    </row>
    <row r="943" ht="12.75">
      <c r="N943" s="26"/>
    </row>
    <row r="944" ht="12.75">
      <c r="N944" s="26"/>
    </row>
    <row r="945" ht="12.75">
      <c r="N945" s="26"/>
    </row>
    <row r="946" ht="12.75">
      <c r="N946" s="26"/>
    </row>
    <row r="947" ht="12.75">
      <c r="N947" s="26"/>
    </row>
    <row r="948" ht="12.75">
      <c r="N948" s="26"/>
    </row>
    <row r="949" ht="12.75">
      <c r="N949" s="26"/>
    </row>
    <row r="950" ht="12.75">
      <c r="N950" s="26"/>
    </row>
    <row r="951" ht="12.75">
      <c r="N951" s="26"/>
    </row>
    <row r="952" ht="12.75">
      <c r="N952" s="26"/>
    </row>
    <row r="953" ht="12.75">
      <c r="N953" s="26"/>
    </row>
    <row r="954" ht="12.75">
      <c r="N954" s="26"/>
    </row>
    <row r="955" ht="12.75">
      <c r="N955" s="26"/>
    </row>
    <row r="956" ht="12.75">
      <c r="N956" s="26"/>
    </row>
    <row r="957" ht="12.75">
      <c r="N957" s="26"/>
    </row>
    <row r="958" ht="12.75">
      <c r="N958" s="26"/>
    </row>
    <row r="959" ht="12.75">
      <c r="N959" s="26"/>
    </row>
    <row r="960" ht="12.75">
      <c r="N960" s="26"/>
    </row>
    <row r="961" ht="12.75">
      <c r="N961" s="26"/>
    </row>
    <row r="962" ht="12.75">
      <c r="N962" s="26"/>
    </row>
    <row r="963" ht="12.75">
      <c r="N963" s="26"/>
    </row>
    <row r="964" ht="12.75">
      <c r="N964" s="26"/>
    </row>
    <row r="965" ht="12.75">
      <c r="N965" s="26"/>
    </row>
    <row r="966" ht="12.75">
      <c r="N966" s="26"/>
    </row>
    <row r="967" ht="12.75">
      <c r="N967" s="26"/>
    </row>
    <row r="968" ht="12.75">
      <c r="N968" s="26"/>
    </row>
    <row r="969" ht="12.75">
      <c r="N969" s="26"/>
    </row>
    <row r="970" ht="12.75">
      <c r="N970" s="26"/>
    </row>
    <row r="971" ht="12.75">
      <c r="N971" s="26"/>
    </row>
    <row r="972" ht="12.75">
      <c r="N972" s="26"/>
    </row>
    <row r="973" ht="12.75">
      <c r="N973" s="26"/>
    </row>
    <row r="974" ht="12.75">
      <c r="N974" s="26"/>
    </row>
    <row r="975" ht="12.75">
      <c r="N975" s="26"/>
    </row>
    <row r="976" ht="12.75">
      <c r="N976" s="26"/>
    </row>
    <row r="977" ht="12.75">
      <c r="N977" s="26"/>
    </row>
    <row r="978" ht="12.75">
      <c r="N978" s="26"/>
    </row>
    <row r="979" ht="12.75">
      <c r="N979" s="26"/>
    </row>
    <row r="980" ht="12.75">
      <c r="N980" s="26"/>
    </row>
    <row r="981" ht="12.75">
      <c r="N981" s="26"/>
    </row>
    <row r="982" ht="12.75">
      <c r="N982" s="26"/>
    </row>
    <row r="983" ht="12.75">
      <c r="N983" s="26"/>
    </row>
    <row r="984" ht="12.75">
      <c r="N984" s="26"/>
    </row>
    <row r="985" ht="12.75">
      <c r="N985" s="26"/>
    </row>
    <row r="986" ht="12.75">
      <c r="N986" s="26"/>
    </row>
    <row r="987" ht="12.75">
      <c r="N987" s="26"/>
    </row>
    <row r="988" ht="12.75">
      <c r="N988" s="26"/>
    </row>
    <row r="989" ht="12.75">
      <c r="N989" s="26"/>
    </row>
    <row r="990" ht="12.75">
      <c r="N990" s="26"/>
    </row>
    <row r="991" ht="12.75">
      <c r="N991" s="26"/>
    </row>
    <row r="992" ht="12.75">
      <c r="N992" s="26"/>
    </row>
    <row r="993" ht="12.75">
      <c r="N993" s="26"/>
    </row>
    <row r="994" ht="12.75">
      <c r="N994" s="26"/>
    </row>
    <row r="995" ht="12.75">
      <c r="N995" s="26"/>
    </row>
    <row r="996" ht="12.75">
      <c r="N996" s="26"/>
    </row>
    <row r="997" ht="12.75">
      <c r="N997" s="26"/>
    </row>
    <row r="998" ht="12.75">
      <c r="N998" s="26"/>
    </row>
    <row r="999" ht="12.75">
      <c r="N999" s="26"/>
    </row>
    <row r="1000" ht="12.75">
      <c r="N1000" s="26"/>
    </row>
    <row r="1001" ht="12.75">
      <c r="N1001" s="26"/>
    </row>
    <row r="1002" ht="12.75">
      <c r="N1002" s="26"/>
    </row>
    <row r="1003" ht="12.75">
      <c r="N1003" s="26"/>
    </row>
    <row r="1004" ht="12.75">
      <c r="N1004" s="26"/>
    </row>
    <row r="1005" ht="12.75">
      <c r="N1005" s="26"/>
    </row>
    <row r="1006" ht="12.75">
      <c r="N1006" s="26"/>
    </row>
    <row r="1007" ht="12.75">
      <c r="N1007" s="26"/>
    </row>
    <row r="1008" ht="12.75">
      <c r="N1008" s="26"/>
    </row>
    <row r="1009" ht="12.75">
      <c r="N1009" s="26"/>
    </row>
    <row r="1010" ht="12.75">
      <c r="N1010" s="26"/>
    </row>
    <row r="1011" ht="12.75">
      <c r="N1011" s="26"/>
    </row>
    <row r="1012" ht="12.75">
      <c r="N1012" s="26"/>
    </row>
    <row r="1013" ht="12.75">
      <c r="N1013" s="26"/>
    </row>
    <row r="1014" ht="12.75">
      <c r="N1014" s="26"/>
    </row>
    <row r="1015" ht="12.75">
      <c r="N1015" s="26"/>
    </row>
    <row r="1016" ht="12.75">
      <c r="N1016" s="26"/>
    </row>
    <row r="1017" ht="12.75">
      <c r="N1017" s="26"/>
    </row>
    <row r="1018" ht="12.75">
      <c r="N1018" s="26"/>
    </row>
    <row r="1019" ht="12.75">
      <c r="N1019" s="26"/>
    </row>
    <row r="1020" ht="12.75">
      <c r="N1020" s="26"/>
    </row>
    <row r="1021" ht="12.75">
      <c r="N1021" s="26"/>
    </row>
    <row r="1022" ht="12.75">
      <c r="N1022" s="26"/>
    </row>
    <row r="1023" ht="12.75">
      <c r="N1023" s="26"/>
    </row>
    <row r="1024" ht="12.75">
      <c r="N1024" s="26"/>
    </row>
    <row r="1025" ht="12.75">
      <c r="N1025" s="26"/>
    </row>
    <row r="1026" ht="12.75">
      <c r="N1026" s="26"/>
    </row>
    <row r="1027" ht="12.75">
      <c r="N1027" s="26"/>
    </row>
    <row r="1028" ht="12.75">
      <c r="N1028" s="26"/>
    </row>
    <row r="1029" ht="12.75">
      <c r="N1029" s="26"/>
    </row>
    <row r="1030" ht="12.75">
      <c r="N1030" s="26"/>
    </row>
    <row r="1031" ht="12.75">
      <c r="N1031" s="26"/>
    </row>
    <row r="1032" ht="12.75">
      <c r="N1032" s="26"/>
    </row>
    <row r="1033" ht="12.75">
      <c r="N1033" s="26"/>
    </row>
    <row r="1034" ht="12.75">
      <c r="N1034" s="26"/>
    </row>
    <row r="1035" ht="12.75">
      <c r="N1035" s="26"/>
    </row>
    <row r="1036" ht="12.75">
      <c r="N1036" s="26"/>
    </row>
    <row r="1037" ht="12.75">
      <c r="N1037" s="26"/>
    </row>
    <row r="1038" ht="12.75">
      <c r="N1038" s="26"/>
    </row>
    <row r="1039" ht="12.75">
      <c r="N1039" s="26"/>
    </row>
    <row r="1040" ht="12.75">
      <c r="N1040" s="26"/>
    </row>
    <row r="1041" ht="12.75">
      <c r="N1041" s="26"/>
    </row>
    <row r="1042" ht="12.75">
      <c r="N1042" s="26"/>
    </row>
    <row r="1043" ht="12.75">
      <c r="N1043" s="26"/>
    </row>
    <row r="1044" ht="12.75">
      <c r="N1044" s="26"/>
    </row>
    <row r="1045" ht="12.75">
      <c r="N1045" s="26"/>
    </row>
    <row r="1046" ht="12.75">
      <c r="N1046" s="26"/>
    </row>
    <row r="1047" ht="12.75">
      <c r="N1047" s="26"/>
    </row>
    <row r="1048" ht="12.75">
      <c r="N1048" s="26"/>
    </row>
    <row r="1049" ht="12.75">
      <c r="N1049" s="26"/>
    </row>
    <row r="1050" ht="12.75">
      <c r="N1050" s="26"/>
    </row>
    <row r="1051" ht="12.75">
      <c r="N1051" s="26"/>
    </row>
    <row r="1052" ht="12.75">
      <c r="N1052" s="26"/>
    </row>
    <row r="1053" ht="12.75">
      <c r="N1053" s="26"/>
    </row>
    <row r="1054" ht="12.75">
      <c r="N1054" s="26"/>
    </row>
    <row r="1055" ht="12.75">
      <c r="N1055" s="26"/>
    </row>
    <row r="1056" ht="12.75">
      <c r="N1056" s="26"/>
    </row>
    <row r="1057" ht="12.75">
      <c r="N1057" s="26"/>
    </row>
    <row r="1058" ht="12.75">
      <c r="N1058" s="26"/>
    </row>
    <row r="1059" ht="12.75">
      <c r="N1059" s="26"/>
    </row>
    <row r="1060" ht="12.75">
      <c r="N1060" s="26"/>
    </row>
    <row r="1061" ht="12.75">
      <c r="N1061" s="26"/>
    </row>
    <row r="1062" ht="12.75">
      <c r="N1062" s="26"/>
    </row>
    <row r="1063" ht="12.75">
      <c r="N1063" s="26"/>
    </row>
    <row r="1064" ht="12.75">
      <c r="N1064" s="26"/>
    </row>
    <row r="1065" ht="12.75">
      <c r="N1065" s="26"/>
    </row>
    <row r="1066" ht="12.75">
      <c r="N1066" s="26"/>
    </row>
    <row r="1067" ht="12.75">
      <c r="N1067" s="26"/>
    </row>
    <row r="1068" ht="12.75">
      <c r="N1068" s="26"/>
    </row>
    <row r="1069" ht="12.75">
      <c r="N1069" s="26"/>
    </row>
    <row r="1070" ht="12.75">
      <c r="N1070" s="26"/>
    </row>
    <row r="1071" ht="12.75">
      <c r="N1071" s="26"/>
    </row>
    <row r="1072" ht="12.75">
      <c r="N1072" s="26"/>
    </row>
    <row r="1073" ht="12.75">
      <c r="N1073" s="26"/>
    </row>
    <row r="1074" ht="12.75">
      <c r="N1074" s="26"/>
    </row>
    <row r="1075" ht="12.75">
      <c r="N1075" s="26"/>
    </row>
    <row r="1076" ht="12.75">
      <c r="N1076" s="26"/>
    </row>
    <row r="1077" ht="12.75">
      <c r="N1077" s="26"/>
    </row>
    <row r="1078" ht="12.75">
      <c r="N1078" s="26"/>
    </row>
    <row r="1079" ht="12.75">
      <c r="N1079" s="26"/>
    </row>
    <row r="1080" ht="12.75">
      <c r="N1080" s="26"/>
    </row>
    <row r="1081" ht="12.75">
      <c r="N1081" s="26"/>
    </row>
    <row r="1082" ht="12.75">
      <c r="N1082" s="26"/>
    </row>
    <row r="1083" ht="12.75">
      <c r="N1083" s="26"/>
    </row>
    <row r="1084" ht="12.75">
      <c r="N1084" s="26"/>
    </row>
    <row r="1085" ht="12.75">
      <c r="N1085" s="26"/>
    </row>
    <row r="1086" ht="12.75">
      <c r="N1086" s="26"/>
    </row>
    <row r="1087" ht="12.75">
      <c r="N1087" s="26"/>
    </row>
    <row r="1088" ht="12.75">
      <c r="N1088" s="26"/>
    </row>
    <row r="1089" ht="12.75">
      <c r="N1089" s="26"/>
    </row>
    <row r="1090" ht="12.75">
      <c r="N1090" s="26"/>
    </row>
    <row r="1091" ht="12.75">
      <c r="N1091" s="26"/>
    </row>
    <row r="1092" ht="12.75">
      <c r="N1092" s="26"/>
    </row>
    <row r="1093" ht="12.75">
      <c r="N1093" s="26"/>
    </row>
    <row r="1094" ht="12.75">
      <c r="N1094" s="26"/>
    </row>
    <row r="1095" ht="12.75">
      <c r="N1095" s="26"/>
    </row>
    <row r="1096" ht="12.75">
      <c r="N1096" s="26"/>
    </row>
    <row r="1097" ht="12.75">
      <c r="N1097" s="26"/>
    </row>
    <row r="1098" ht="12.75">
      <c r="N1098" s="26"/>
    </row>
    <row r="1099" ht="12.75">
      <c r="N1099" s="26"/>
    </row>
    <row r="1100" ht="12.75">
      <c r="N1100" s="26"/>
    </row>
    <row r="1101" ht="12.75">
      <c r="N1101" s="26"/>
    </row>
    <row r="1102" ht="12.75">
      <c r="N1102" s="26"/>
    </row>
    <row r="1103" ht="12.75">
      <c r="N1103" s="26"/>
    </row>
    <row r="1104" ht="12.75">
      <c r="N1104" s="26"/>
    </row>
    <row r="1105" ht="12.75">
      <c r="N1105" s="26"/>
    </row>
    <row r="1106" ht="12.75">
      <c r="N1106" s="26"/>
    </row>
    <row r="1107" ht="12.75">
      <c r="N1107" s="26"/>
    </row>
    <row r="1108" ht="12.75">
      <c r="N1108" s="26"/>
    </row>
    <row r="1109" ht="12.75">
      <c r="N1109" s="26"/>
    </row>
    <row r="1110" ht="12.75">
      <c r="N1110" s="26"/>
    </row>
    <row r="1111" ht="12.75">
      <c r="N1111" s="26"/>
    </row>
    <row r="1112" ht="12.75">
      <c r="N1112" s="26"/>
    </row>
    <row r="1113" ht="12.75">
      <c r="N1113" s="26"/>
    </row>
    <row r="1114" ht="12.75">
      <c r="N1114" s="26"/>
    </row>
    <row r="1115" ht="12.75">
      <c r="N1115" s="26"/>
    </row>
    <row r="1116" ht="12.75">
      <c r="N1116" s="26"/>
    </row>
    <row r="1117" ht="12.75">
      <c r="N1117" s="26"/>
    </row>
    <row r="1118" ht="12.75">
      <c r="N1118" s="26"/>
    </row>
    <row r="1119" ht="12.75">
      <c r="N1119" s="26"/>
    </row>
    <row r="1120" ht="12.75">
      <c r="N1120" s="26"/>
    </row>
    <row r="1121" ht="12.75">
      <c r="N1121" s="26"/>
    </row>
    <row r="1122" ht="12.75">
      <c r="N1122" s="26"/>
    </row>
    <row r="1123" ht="12.75">
      <c r="N1123" s="26"/>
    </row>
    <row r="1124" ht="12.75">
      <c r="N1124" s="26"/>
    </row>
    <row r="1125" ht="12.75">
      <c r="N1125" s="26"/>
    </row>
    <row r="1126" ht="12.75">
      <c r="N1126" s="26"/>
    </row>
    <row r="1127" ht="12.75">
      <c r="N1127" s="26"/>
    </row>
    <row r="1128" ht="12.75">
      <c r="N1128" s="26"/>
    </row>
    <row r="1129" ht="12.75">
      <c r="N1129" s="26"/>
    </row>
    <row r="1130" ht="12.75">
      <c r="N1130" s="26"/>
    </row>
    <row r="1131" ht="12.75">
      <c r="N1131" s="26"/>
    </row>
    <row r="1132" ht="12.75">
      <c r="N1132" s="26"/>
    </row>
    <row r="1133" ht="12.75">
      <c r="N1133" s="26"/>
    </row>
    <row r="1134" ht="12.75">
      <c r="N1134" s="26"/>
    </row>
    <row r="1135" ht="12.75">
      <c r="N1135" s="26"/>
    </row>
    <row r="1136" ht="12.75">
      <c r="N1136" s="26"/>
    </row>
    <row r="1137" ht="12.75">
      <c r="N1137" s="26"/>
    </row>
    <row r="1138" ht="12.75">
      <c r="N1138" s="26"/>
    </row>
    <row r="1139" ht="12.75">
      <c r="N1139" s="26"/>
    </row>
    <row r="1140" ht="12.75">
      <c r="N1140" s="26"/>
    </row>
    <row r="1141" ht="12.75">
      <c r="N1141" s="26"/>
    </row>
    <row r="1142" ht="12.75">
      <c r="N1142" s="26"/>
    </row>
    <row r="1143" ht="12.75">
      <c r="N1143" s="26"/>
    </row>
    <row r="1144" ht="12.75">
      <c r="N1144" s="26"/>
    </row>
    <row r="1145" ht="12.75">
      <c r="N1145" s="26"/>
    </row>
    <row r="1146" ht="12.75">
      <c r="N1146" s="26"/>
    </row>
    <row r="1147" ht="12.75">
      <c r="N1147" s="26"/>
    </row>
    <row r="1148" ht="12.75">
      <c r="N1148" s="26"/>
    </row>
    <row r="1149" ht="12.75">
      <c r="N1149" s="26"/>
    </row>
    <row r="1150" ht="12.75">
      <c r="N1150" s="26"/>
    </row>
    <row r="1151" ht="12.75">
      <c r="N1151" s="26"/>
    </row>
    <row r="1152" ht="12.75">
      <c r="N1152" s="26"/>
    </row>
    <row r="1153" ht="12.75">
      <c r="N1153" s="26"/>
    </row>
    <row r="1154" ht="12.75">
      <c r="N1154" s="26"/>
    </row>
    <row r="1155" ht="12.75">
      <c r="N1155" s="26"/>
    </row>
    <row r="1156" ht="12.75">
      <c r="N1156" s="26"/>
    </row>
    <row r="1157" ht="12.75">
      <c r="N1157" s="26"/>
    </row>
    <row r="1158" ht="12.75">
      <c r="N1158" s="26"/>
    </row>
    <row r="1159" ht="12.75">
      <c r="N1159" s="26"/>
    </row>
    <row r="1160" ht="12.75">
      <c r="N1160" s="26"/>
    </row>
    <row r="1161" ht="12.75">
      <c r="N1161" s="26"/>
    </row>
    <row r="1162" ht="12.75">
      <c r="N1162" s="26"/>
    </row>
    <row r="1163" ht="12.75">
      <c r="N1163" s="26"/>
    </row>
    <row r="1164" ht="12.75">
      <c r="N1164" s="26"/>
    </row>
    <row r="1165" ht="12.75">
      <c r="N1165" s="26"/>
    </row>
    <row r="1166" ht="12.75">
      <c r="N1166" s="26"/>
    </row>
    <row r="1167" ht="12.75">
      <c r="N1167" s="26"/>
    </row>
    <row r="1168" ht="12.75">
      <c r="N1168" s="26"/>
    </row>
    <row r="1169" ht="12.75">
      <c r="N1169" s="26"/>
    </row>
    <row r="1170" ht="12.75">
      <c r="N1170" s="26"/>
    </row>
    <row r="1171" ht="12.75">
      <c r="N1171" s="26"/>
    </row>
    <row r="1172" ht="12.75">
      <c r="N1172" s="26"/>
    </row>
    <row r="1173" ht="12.75">
      <c r="N1173" s="26"/>
    </row>
    <row r="1174" ht="12.75">
      <c r="N1174" s="26"/>
    </row>
    <row r="1175" ht="12.75">
      <c r="N1175" s="26"/>
    </row>
    <row r="1176" ht="12.75">
      <c r="N1176" s="26"/>
    </row>
    <row r="1177" ht="12.75">
      <c r="N1177" s="26"/>
    </row>
    <row r="1178" ht="12.75">
      <c r="N1178" s="26"/>
    </row>
    <row r="1179" ht="12.75">
      <c r="N1179" s="26"/>
    </row>
    <row r="1180" ht="12.75">
      <c r="N1180" s="26"/>
    </row>
    <row r="1181" ht="12.75">
      <c r="N1181" s="26"/>
    </row>
    <row r="1182" ht="12.75">
      <c r="N1182" s="26"/>
    </row>
    <row r="1183" ht="12.75">
      <c r="N1183" s="26"/>
    </row>
    <row r="1184" ht="12.75">
      <c r="N1184" s="26"/>
    </row>
    <row r="1185" ht="12.75">
      <c r="N1185" s="26"/>
    </row>
    <row r="1186" ht="12.75">
      <c r="N1186" s="26"/>
    </row>
    <row r="1187" ht="12.75">
      <c r="N1187" s="26"/>
    </row>
    <row r="1188" ht="12.75">
      <c r="N1188" s="26"/>
    </row>
    <row r="1189" ht="12.75">
      <c r="N1189" s="26"/>
    </row>
    <row r="1190" ht="12.75">
      <c r="N1190" s="26"/>
    </row>
    <row r="1191" ht="12.75">
      <c r="N1191" s="26"/>
    </row>
    <row r="1192" ht="12.75">
      <c r="N1192" s="26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V65"/>
  <sheetViews>
    <sheetView workbookViewId="0" topLeftCell="E1">
      <selection activeCell="O16" sqref="O16"/>
    </sheetView>
  </sheetViews>
  <sheetFormatPr defaultColWidth="9.140625" defaultRowHeight="12.75"/>
  <cols>
    <col min="1" max="16384" width="9.140625" style="12" customWidth="1"/>
  </cols>
  <sheetData>
    <row r="1" ht="11.25">
      <c r="A1" s="11" t="s">
        <v>12</v>
      </c>
    </row>
    <row r="3" spans="2:14" ht="11.25">
      <c r="B3" s="13" t="s">
        <v>16</v>
      </c>
      <c r="E3" s="14" t="s">
        <v>17</v>
      </c>
      <c r="L3" s="14"/>
      <c r="N3" s="13" t="s">
        <v>20</v>
      </c>
    </row>
    <row r="4" spans="2:9" ht="11.25">
      <c r="B4" s="15" t="s">
        <v>80</v>
      </c>
      <c r="C4" s="12">
        <f>IF(Vtoc1="","",MATCH(Vtoc1,RHV,0)+15)</f>
        <v>16</v>
      </c>
      <c r="E4" s="15" t="s">
        <v>40</v>
      </c>
      <c r="F4" s="15">
        <f>IF(VtoP="","",MATCH(VtoP,RHV,0)+15)</f>
        <v>22</v>
      </c>
      <c r="H4" s="15" t="s">
        <v>93</v>
      </c>
      <c r="I4" s="15">
        <f ca="1">IF(VtoP="","",INDIRECT(ADDRESS(VPth,11,1,,"Input")))</f>
        <v>20.13</v>
      </c>
    </row>
    <row r="5" spans="2:9" ht="11.25">
      <c r="B5" s="15" t="s">
        <v>81</v>
      </c>
      <c r="C5" s="12">
        <f>IF(Vtoc2="","",MATCH(Vtoc2,RHV,0)+15)</f>
        <v>19</v>
      </c>
      <c r="E5" s="15" t="s">
        <v>18</v>
      </c>
      <c r="F5" s="15">
        <f>(EndV-StartV)/(NmP-1)</f>
        <v>5</v>
      </c>
      <c r="H5" s="15" t="s">
        <v>41</v>
      </c>
      <c r="I5" s="15">
        <f ca="1">IF(VtoP="","",INDIRECT(ADDRESS(VPth,3,1,,"Input")))</f>
        <v>-0.034</v>
      </c>
    </row>
    <row r="6" spans="2:3" ht="11.25">
      <c r="B6" s="15" t="s">
        <v>82</v>
      </c>
      <c r="C6" s="12">
        <f>IF(Vtoc3="","",MATCH(Vtoc3,RHV,0)+15)</f>
        <v>18</v>
      </c>
    </row>
    <row r="7" spans="2:12" ht="11.25">
      <c r="B7" s="15"/>
      <c r="E7" s="12" t="s">
        <v>99</v>
      </c>
      <c r="F7" s="15">
        <f>IF(cv1th="","",MATCH(cv1th,RHV,0)+15)</f>
        <v>18</v>
      </c>
      <c r="H7" s="12" t="s">
        <v>106</v>
      </c>
      <c r="I7" s="12">
        <f ca="1">IF(cv1th="","",INDIRECT(ADDRESS(cr1th,3,1,,"Input")))</f>
        <v>-0.063</v>
      </c>
      <c r="K7" s="12" t="s">
        <v>100</v>
      </c>
      <c r="L7" s="12">
        <f ca="1">IF(cv1th="","",INDIRECT(ADDRESS(cr1th,11,1,,"Input")))</f>
        <v>42.52</v>
      </c>
    </row>
    <row r="8" spans="2:12" ht="11.25">
      <c r="B8" s="15" t="s">
        <v>83</v>
      </c>
      <c r="C8" s="12">
        <f ca="1">IF(Vtoc1="","",INDIRECT(ADDRESS(vc1,3,1,,"Input")))</f>
        <v>-1.463</v>
      </c>
      <c r="E8" s="12" t="s">
        <v>94</v>
      </c>
      <c r="F8" s="15">
        <f>IF(cv2th="","",MATCH(cv2th,RHV,0)+15)</f>
        <v>18</v>
      </c>
      <c r="H8" s="12" t="s">
        <v>107</v>
      </c>
      <c r="I8" s="12">
        <f ca="1">IF(cv2th="","",INDIRECT(ADDRESS(cr2th,3,1,,"Input")))</f>
        <v>-0.063</v>
      </c>
      <c r="K8" s="12" t="s">
        <v>101</v>
      </c>
      <c r="L8" s="12">
        <f ca="1">IF(cv2th="","",INDIRECT(ADDRESS(cr2th,11,1,,"Input")))</f>
        <v>42.52</v>
      </c>
    </row>
    <row r="9" spans="2:12" ht="11.25">
      <c r="B9" s="15" t="s">
        <v>84</v>
      </c>
      <c r="C9" s="12">
        <f ca="1">IF(Vtoc2="","",INDIRECT(ADDRESS(vc2,3,1,,"Input")))</f>
        <v>0.807</v>
      </c>
      <c r="E9" s="12" t="s">
        <v>95</v>
      </c>
      <c r="F9" s="15">
        <f>IF(cv3th="","",MATCH(cv3th,RHV,0)+15)</f>
        <v>18</v>
      </c>
      <c r="H9" s="12" t="s">
        <v>108</v>
      </c>
      <c r="I9" s="12">
        <f ca="1">IF(cv3th="","",INDIRECT(ADDRESS(cr3th,3,1,,"Input")))</f>
        <v>-0.063</v>
      </c>
      <c r="K9" s="12" t="s">
        <v>102</v>
      </c>
      <c r="L9" s="12">
        <f ca="1">IF(cv3th="","",INDIRECT(ADDRESS(cr3th,11,1,,"Input")))</f>
        <v>42.52</v>
      </c>
    </row>
    <row r="10" spans="2:12" ht="11.25">
      <c r="B10" s="15" t="s">
        <v>85</v>
      </c>
      <c r="C10" s="12">
        <f ca="1">IF(Vtoc3="","",INDIRECT(ADDRESS(vc3,3,1,,"Input")))</f>
        <v>-0.063</v>
      </c>
      <c r="E10" s="12" t="s">
        <v>96</v>
      </c>
      <c r="F10" s="15">
        <f>IF(cv4th="","",MATCH(cv4th,RHV,0)+15)</f>
        <v>18</v>
      </c>
      <c r="H10" s="12" t="s">
        <v>109</v>
      </c>
      <c r="I10" s="12">
        <f ca="1">IF(cv4th="","",INDIRECT(ADDRESS(cr4th,3,1,,"Input")))</f>
        <v>-0.063</v>
      </c>
      <c r="K10" s="12" t="s">
        <v>103</v>
      </c>
      <c r="L10" s="12">
        <f ca="1">IF(cv4th="","",INDIRECT(ADDRESS(cr4th,11,1,,"Input")))</f>
        <v>42.52</v>
      </c>
    </row>
    <row r="11" spans="2:12" ht="11.25">
      <c r="B11" s="16"/>
      <c r="E11" s="12" t="s">
        <v>97</v>
      </c>
      <c r="F11" s="15">
        <f>IF(cv5th="","",MATCH(cv5th,RHV,0)+15)</f>
        <v>18</v>
      </c>
      <c r="H11" s="12" t="s">
        <v>110</v>
      </c>
      <c r="I11" s="12">
        <f ca="1">IF(cv5th="","",INDIRECT(ADDRESS(cr5th,3,1,,"Input")))</f>
        <v>-0.063</v>
      </c>
      <c r="J11" s="1"/>
      <c r="K11" s="12" t="s">
        <v>104</v>
      </c>
      <c r="L11" s="12">
        <f ca="1">IF(cv5th="","",INDIRECT(ADDRESS(cr5th,11,1,,"Input")))</f>
        <v>42.52</v>
      </c>
    </row>
    <row r="12" spans="2:12" ht="11.25">
      <c r="B12" s="12" t="s">
        <v>86</v>
      </c>
      <c r="C12" s="12">
        <f ca="1">IF(Vtoc1="","",INDIRECT(ADDRESS(vc1,11,1,,"Input")))</f>
        <v>0.24</v>
      </c>
      <c r="E12" s="12" t="s">
        <v>98</v>
      </c>
      <c r="F12" s="15">
        <f>IF(cv6th="","",MATCH(cv6th,RHV,0)+15)</f>
      </c>
      <c r="H12" s="12" t="s">
        <v>111</v>
      </c>
      <c r="I12" s="12">
        <f ca="1">IF(cv6th="","",INDIRECT(ADDRESS(cr6th,3,1,,"Input")))</f>
      </c>
      <c r="K12" s="12" t="s">
        <v>105</v>
      </c>
      <c r="L12" s="12">
        <f ca="1">IF(cv6th="","",INDIRECT(ADDRESS(cr6th,11,1,,"Input")))</f>
      </c>
    </row>
    <row r="13" spans="2:4" ht="11.25">
      <c r="B13" s="12" t="s">
        <v>87</v>
      </c>
      <c r="C13" s="12">
        <f ca="1">IF(Vtoc2="","",INDIRECT(ADDRESS(vc2,11,1,,"Input")))</f>
        <v>0.28</v>
      </c>
      <c r="D13" s="1"/>
    </row>
    <row r="14" spans="2:3" ht="11.25">
      <c r="B14" s="12" t="s">
        <v>88</v>
      </c>
      <c r="C14" s="12">
        <f ca="1">IF(Vtoc3="","",INDIRECT(ADDRESS(vc3,11,1,,"Input")))</f>
        <v>42.52</v>
      </c>
    </row>
    <row r="15" spans="5:22" ht="11.25">
      <c r="E15" s="5" t="s">
        <v>112</v>
      </c>
      <c r="F15" s="5" t="str">
        <f>IF(cv1th="","",cv1th)</f>
        <v>Age</v>
      </c>
      <c r="G15" s="5" t="str">
        <f>IF(cv2th="","",cv2th)</f>
        <v>Age</v>
      </c>
      <c r="H15" s="5" t="str">
        <f>IF(cv3th="","",cv3th)</f>
        <v>Age</v>
      </c>
      <c r="I15" s="5" t="str">
        <f>IF(cv4th="","",cv4th)</f>
        <v>Age</v>
      </c>
      <c r="J15" s="5" t="str">
        <f>IF(cv5th="","",cv5th)</f>
        <v>Age</v>
      </c>
      <c r="K15" s="5">
        <f>IF(cv6th="","",cv6th)</f>
      </c>
      <c r="N15" s="5" t="s">
        <v>113</v>
      </c>
      <c r="O15" s="5" t="s">
        <v>114</v>
      </c>
      <c r="P15" s="5" t="s">
        <v>115</v>
      </c>
      <c r="Q15" s="5" t="s">
        <v>116</v>
      </c>
      <c r="R15" s="25" t="s">
        <v>117</v>
      </c>
      <c r="S15" s="5" t="s">
        <v>118</v>
      </c>
      <c r="T15" s="5" t="s">
        <v>119</v>
      </c>
      <c r="U15" s="25" t="s">
        <v>120</v>
      </c>
      <c r="V15" s="1"/>
    </row>
    <row r="16" spans="2:21" ht="11.25">
      <c r="B16" s="12" t="s">
        <v>37</v>
      </c>
      <c r="C16" s="12">
        <f>SUMPRODUCT(B,Bval)+Con</f>
        <v>0.3150900000000001</v>
      </c>
      <c r="E16" s="12">
        <f>StartV</f>
        <v>0</v>
      </c>
      <c r="F16" s="12">
        <f>IF(OR(F$15="",$E16=""),"",Sbase-(+b1c*(bvcr1-CrV1))-BVtoP*(PbV-$E16))</f>
        <v>1.7882700000000005</v>
      </c>
      <c r="G16" s="12">
        <f>IF(OR(G$15="",$E16=""),"",Sbase-(+b2c*(bvcr2-CrV2))-BVtoP*(PbV-$E16))</f>
        <v>1.1582700000000004</v>
      </c>
      <c r="H16" s="12">
        <f>IF(OR(H$15="",$E16=""),"",Sbase-(+b3c*(bvcr3-CrV3))-BVtoP*(PbV-$E16))</f>
        <v>0.5282700000000002</v>
      </c>
      <c r="I16" s="12">
        <f>IF(OR(I$15="",$E16=""),"",Sbase-(+b4c*(bvcr4-CrV4))-BVtoP*(PbV-$E16))</f>
        <v>-0.10172999999999965</v>
      </c>
      <c r="J16" s="12">
        <f>IF(OR(J$15="",$E16=""),"",Sbase-(+b5c*(bvcr5-CrV5))-BVtoP*(PbV-$E16))</f>
        <v>-0.7317299999999998</v>
      </c>
      <c r="K16" s="12">
        <f>IF(OR(K$15="",$E16=""),"",Sbase-(+b6c*(bvcr6-CrV6))-BVtoP*(PbV-$E16))</f>
      </c>
      <c r="N16" s="12">
        <f>IF(RHV="","",CDF(+Sbase-B*(Bval-1))-CDF(+Sbase-B*Bval))</f>
        <v>-0.34994140864908785</v>
      </c>
      <c r="O16" s="12">
        <f>IF(RHV="","",CDF(+Sbase-B*(Bval-Max))-CDF(+Sbase-B*(Bval-Min)))</f>
        <v>-0.6370577834129888</v>
      </c>
      <c r="P16" s="12">
        <f>IF(RHV="","",CDF(+Sbase-B*(Bval-Mn+0.5)))</f>
        <v>0.7401195481487849</v>
      </c>
      <c r="Q16" s="12">
        <f>IF(RHV="","",CDF(+Sbase-B*(Bval-Mn-0.5)))</f>
        <v>0.3973761239428722</v>
      </c>
      <c r="R16" s="12">
        <f>IF(B="","",Q16-P16)</f>
        <v>-0.3427434242059127</v>
      </c>
      <c r="S16" s="12">
        <f>IF(RHV="","",CDF(+Sbase-B*(Bval-Mn+0.5*Sd)))</f>
        <v>0.6671826487769126</v>
      </c>
      <c r="T16" s="12">
        <f>IF(RHV="","",CDF(+Sbase-B*(Bval-Mn-0.5*Sd)))</f>
        <v>0.4836832958038425</v>
      </c>
      <c r="U16" s="12">
        <f>IF(B="","",T16-S16)</f>
        <v>-0.18349935297307007</v>
      </c>
    </row>
    <row r="17" spans="2:21" ht="11.25">
      <c r="B17" s="12" t="s">
        <v>89</v>
      </c>
      <c r="C17" s="12">
        <f>SUMPRODUCT(B,Mn)+Con</f>
        <v>0.3150900000000001</v>
      </c>
      <c r="E17" s="12">
        <f>IF(OR(VtoP="",E16&gt;=EndV),"",E16+Dis)</f>
        <v>5</v>
      </c>
      <c r="F17" s="12">
        <f aca="true" t="shared" si="0" ref="F17:F35">IF(OR(F$15="",$E17=""),"",Sbase-(+b1c*(bvcr1-CrV1))-BVtoP*(PbV-$E17))</f>
        <v>1.6182700000000003</v>
      </c>
      <c r="G17" s="12">
        <f aca="true" t="shared" si="1" ref="G17:G35">IF(OR(G$15="",$E17=""),"",Sbase-(+b2c*(bvcr2-CrV2))-BVtoP*(PbV-$E17))</f>
        <v>0.9882700000000003</v>
      </c>
      <c r="H17" s="12">
        <f aca="true" t="shared" si="2" ref="H17:H35">IF(OR(H$15="",$E17=""),"",Sbase-(+b3c*(bvcr3-CrV3))-BVtoP*(PbV-$E17))</f>
        <v>0.35827000000000025</v>
      </c>
      <c r="I17" s="12">
        <f aca="true" t="shared" si="3" ref="I17:I35">IF(OR(I$15="",$E17=""),"",Sbase-(+b4c*(bvcr4-CrV4))-BVtoP*(PbV-$E17))</f>
        <v>-0.2717299999999997</v>
      </c>
      <c r="J17" s="12">
        <f aca="true" t="shared" si="4" ref="J17:J35">IF(OR(J$15="",$E17=""),"",Sbase-(+b5c*(bvcr5-CrV5))-BVtoP*(PbV-$E17))</f>
        <v>-0.9017299999999998</v>
      </c>
      <c r="K17" s="12">
        <f aca="true" t="shared" si="5" ref="K17:K35">IF(OR(K$15="",$E17=""),"",Sbase-(+b6c*(bvcr6-CrV6))-BVtoP*(PbV-$E17))</f>
      </c>
      <c r="N17" s="1">
        <f aca="true" t="shared" si="6" ref="N17:N65">IF(RHV="","",CDF(+Sbase-B*(Bval-1))-CDF(+Sbase-B*Bval))</f>
        <v>-0.015704071102135564</v>
      </c>
      <c r="O17" s="1">
        <f aca="true" t="shared" si="7" ref="O17:O65">IF(RHV="","",CDF(+Sbase-B*(Bval-Max))-CDF(+Sbase-B*(Bval-Min)))</f>
        <v>-0.1286263508945789</v>
      </c>
      <c r="P17" s="1">
        <f aca="true" t="shared" si="8" ref="P17:P65">IF(RHV="","",CDF(+Sbase-B*(Bval-Mn+0.5)))</f>
        <v>0.5860330384563827</v>
      </c>
      <c r="Q17" s="1">
        <f aca="true" t="shared" si="9" ref="Q17:Q65">IF(RHV="","",CDF(+Sbase-B*(Bval-Mn-0.5)))</f>
        <v>0.5701810822365506</v>
      </c>
      <c r="R17" s="1">
        <f aca="true" t="shared" si="10" ref="R17:R65">IF(B="","",Q17-P17)</f>
        <v>-0.015851956219832042</v>
      </c>
      <c r="S17" s="1">
        <f aca="true" t="shared" si="11" ref="S17:S65">IF(RHV="","",CDF(+Sbase-B*(Bval-Mn+0.5*Sd)))</f>
        <v>0.5885537828056981</v>
      </c>
      <c r="T17" s="1">
        <f aca="true" t="shared" si="12" ref="T17:T65">IF(RHV="","",CDF(+Sbase-B*(Bval-Mn-0.5*Sd)))</f>
        <v>0.5676304675718755</v>
      </c>
      <c r="U17" s="1">
        <f aca="true" t="shared" si="13" ref="U17:U65">IF(B="","",T17-S17)</f>
        <v>-0.020923315233822626</v>
      </c>
    </row>
    <row r="18" spans="2:21" ht="11.25">
      <c r="B18" s="12" t="s">
        <v>38</v>
      </c>
      <c r="C18" s="12">
        <f>SUMPRODUCT(B,Min)+Con</f>
        <v>0.05276999999999976</v>
      </c>
      <c r="E18" s="1">
        <f aca="true" t="shared" si="14" ref="E18:E35">IF(OR(VtoP="",E17&gt;=EndV),"",E17+Dis)</f>
        <v>10</v>
      </c>
      <c r="F18" s="12">
        <f t="shared" si="0"/>
        <v>1.4482700000000004</v>
      </c>
      <c r="G18" s="12">
        <f t="shared" si="1"/>
        <v>0.8182700000000003</v>
      </c>
      <c r="H18" s="12">
        <f t="shared" si="2"/>
        <v>0.18827000000000027</v>
      </c>
      <c r="I18" s="12">
        <f t="shared" si="3"/>
        <v>-0.4417299999999997</v>
      </c>
      <c r="J18" s="12">
        <f t="shared" si="4"/>
        <v>-1.0717299999999998</v>
      </c>
      <c r="K18" s="12">
        <f t="shared" si="5"/>
      </c>
      <c r="N18" s="1">
        <f t="shared" si="6"/>
        <v>-0.002944953632028291</v>
      </c>
      <c r="O18" s="1">
        <f t="shared" si="7"/>
        <v>-0.43798484807599225</v>
      </c>
      <c r="P18" s="1">
        <f t="shared" si="8"/>
        <v>0.5857904192870427</v>
      </c>
      <c r="Q18" s="1">
        <f t="shared" si="9"/>
        <v>0.570426139633432</v>
      </c>
      <c r="R18" s="1">
        <f t="shared" si="10"/>
        <v>-0.015364279653610646</v>
      </c>
      <c r="S18" s="1">
        <f t="shared" si="11"/>
        <v>0.638600484169079</v>
      </c>
      <c r="T18" s="1">
        <f t="shared" si="12"/>
        <v>0.5152165496658638</v>
      </c>
      <c r="U18" s="1">
        <f t="shared" si="13"/>
        <v>-0.12338393450321516</v>
      </c>
    </row>
    <row r="19" spans="2:21" ht="11.25">
      <c r="B19" s="12" t="s">
        <v>39</v>
      </c>
      <c r="C19" s="12">
        <f>SUMPRODUCT(B,Max)+Con</f>
        <v>-5.903899999999998</v>
      </c>
      <c r="E19" s="1">
        <f t="shared" si="14"/>
        <v>15</v>
      </c>
      <c r="F19" s="12">
        <f t="shared" si="0"/>
        <v>1.2782700000000005</v>
      </c>
      <c r="G19" s="12">
        <f t="shared" si="1"/>
        <v>0.6482700000000003</v>
      </c>
      <c r="H19" s="12">
        <f t="shared" si="2"/>
        <v>0.018270000000000258</v>
      </c>
      <c r="I19" s="12">
        <f t="shared" si="3"/>
        <v>-0.6117299999999997</v>
      </c>
      <c r="J19" s="12">
        <f t="shared" si="4"/>
        <v>-1.2417299999999998</v>
      </c>
      <c r="K19" s="12">
        <f t="shared" si="5"/>
      </c>
      <c r="N19" s="1">
        <f t="shared" si="6"/>
        <v>0.18788580724498416</v>
      </c>
      <c r="O19" s="1">
        <f t="shared" si="7"/>
        <v>0.18788580724498416</v>
      </c>
      <c r="P19" s="1">
        <f t="shared" si="8"/>
        <v>0.47791188545528</v>
      </c>
      <c r="Q19" s="1">
        <f t="shared" si="9"/>
        <v>0.6722964499217577</v>
      </c>
      <c r="R19" s="1">
        <f t="shared" si="10"/>
        <v>0.19438456446647773</v>
      </c>
      <c r="S19" s="1">
        <f t="shared" si="11"/>
        <v>0.5333292533890006</v>
      </c>
      <c r="T19" s="1">
        <f t="shared" si="12"/>
        <v>0.6216752743380779</v>
      </c>
      <c r="U19" s="1">
        <f t="shared" si="13"/>
        <v>0.08834602094907729</v>
      </c>
    </row>
    <row r="20" spans="5:21" ht="11.25">
      <c r="E20" s="1">
        <f t="shared" si="14"/>
        <v>20</v>
      </c>
      <c r="F20" s="12">
        <f t="shared" si="0"/>
        <v>1.1082700000000003</v>
      </c>
      <c r="G20" s="12">
        <f t="shared" si="1"/>
        <v>0.4782700000000003</v>
      </c>
      <c r="H20" s="12">
        <f t="shared" si="2"/>
        <v>-0.15172999999999975</v>
      </c>
      <c r="I20" s="12">
        <f t="shared" si="3"/>
        <v>-0.7817299999999997</v>
      </c>
      <c r="J20" s="12">
        <f t="shared" si="4"/>
        <v>-1.41173</v>
      </c>
      <c r="K20" s="12">
        <f t="shared" si="5"/>
      </c>
      <c r="N20" s="1">
        <f t="shared" si="6"/>
        <v>0.027256264376629757</v>
      </c>
      <c r="O20" s="1">
        <f t="shared" si="7"/>
        <v>0.027256264376629757</v>
      </c>
      <c r="P20" s="1">
        <f t="shared" si="8"/>
        <v>0.5644125805036849</v>
      </c>
      <c r="Q20" s="1">
        <f t="shared" si="9"/>
        <v>0.5917223345808936</v>
      </c>
      <c r="R20" s="1">
        <f t="shared" si="10"/>
        <v>0.027309754077208703</v>
      </c>
      <c r="S20" s="1">
        <f t="shared" si="11"/>
        <v>0.5714207169325912</v>
      </c>
      <c r="T20" s="1">
        <f t="shared" si="12"/>
        <v>0.5848049589798368</v>
      </c>
      <c r="U20" s="1">
        <f t="shared" si="13"/>
        <v>0.013384242047245531</v>
      </c>
    </row>
    <row r="21" spans="5:21" ht="11.25">
      <c r="E21" s="1">
        <f t="shared" si="14"/>
        <v>25</v>
      </c>
      <c r="F21" s="12">
        <f t="shared" si="0"/>
        <v>0.9382700000000004</v>
      </c>
      <c r="G21" s="12">
        <f t="shared" si="1"/>
        <v>0.30827000000000027</v>
      </c>
      <c r="H21" s="12">
        <f t="shared" si="2"/>
        <v>-0.32172999999999974</v>
      </c>
      <c r="I21" s="12">
        <f t="shared" si="3"/>
        <v>-0.9517299999999997</v>
      </c>
      <c r="J21" s="12">
        <f t="shared" si="4"/>
        <v>-1.5817299999999999</v>
      </c>
      <c r="K21" s="12">
        <f t="shared" si="5"/>
      </c>
      <c r="N21" s="1">
        <f t="shared" si="6"/>
        <v>0.15002293133130284</v>
      </c>
      <c r="O21" s="1">
        <f t="shared" si="7"/>
        <v>0.6624042232910266</v>
      </c>
      <c r="P21" s="1">
        <f t="shared" si="8"/>
        <v>0.5031474584253053</v>
      </c>
      <c r="Q21" s="1">
        <f t="shared" si="9"/>
        <v>0.6496702334602328</v>
      </c>
      <c r="R21" s="1">
        <f t="shared" si="10"/>
        <v>0.1465227750349275</v>
      </c>
      <c r="S21" s="1">
        <f t="shared" si="11"/>
        <v>0.534100729460433</v>
      </c>
      <c r="T21" s="1">
        <f t="shared" si="12"/>
        <v>0.620945894909513</v>
      </c>
      <c r="U21" s="1">
        <f t="shared" si="13"/>
        <v>0.08684516544908005</v>
      </c>
    </row>
    <row r="22" spans="3:21" ht="11.25">
      <c r="C22" s="1"/>
      <c r="E22" s="1">
        <f t="shared" si="14"/>
        <v>30</v>
      </c>
      <c r="F22" s="12">
        <f t="shared" si="0"/>
        <v>0.7682700000000005</v>
      </c>
      <c r="G22" s="12">
        <f t="shared" si="1"/>
        <v>0.13827000000000028</v>
      </c>
      <c r="H22" s="12">
        <f t="shared" si="2"/>
        <v>-0.4917299999999998</v>
      </c>
      <c r="I22" s="12">
        <f t="shared" si="3"/>
        <v>-1.1217299999999997</v>
      </c>
      <c r="J22" s="12">
        <f t="shared" si="4"/>
        <v>-1.7517299999999998</v>
      </c>
      <c r="K22" s="12">
        <f t="shared" si="5"/>
      </c>
      <c r="N22" s="1">
        <f t="shared" si="6"/>
        <v>-0.006738586341116903</v>
      </c>
      <c r="O22" s="1">
        <f t="shared" si="7"/>
        <v>-0.6370558754988084</v>
      </c>
      <c r="P22" s="1">
        <f t="shared" si="8"/>
        <v>0.5822678189706275</v>
      </c>
      <c r="Q22" s="1">
        <f t="shared" si="9"/>
        <v>0.573975535180416</v>
      </c>
      <c r="R22" s="1">
        <f t="shared" si="10"/>
        <v>-0.008292283790211519</v>
      </c>
      <c r="S22" s="1">
        <f t="shared" si="11"/>
        <v>0.6254626301038267</v>
      </c>
      <c r="T22" s="1">
        <f t="shared" si="12"/>
        <v>0.529311353249631</v>
      </c>
      <c r="U22" s="1">
        <f t="shared" si="13"/>
        <v>-0.09615127685419578</v>
      </c>
    </row>
    <row r="23" spans="2:21" ht="11.25">
      <c r="B23" s="23" t="s">
        <v>91</v>
      </c>
      <c r="E23" s="1">
        <f t="shared" si="14"/>
        <v>35</v>
      </c>
      <c r="F23" s="12">
        <f t="shared" si="0"/>
        <v>0.5982700000000004</v>
      </c>
      <c r="G23" s="12">
        <f t="shared" si="1"/>
        <v>-0.0317299999999997</v>
      </c>
      <c r="H23" s="12">
        <f t="shared" si="2"/>
        <v>-0.6617299999999997</v>
      </c>
      <c r="I23" s="12">
        <f t="shared" si="3"/>
        <v>-1.2917299999999998</v>
      </c>
      <c r="J23" s="12">
        <f t="shared" si="4"/>
        <v>-1.9217299999999997</v>
      </c>
      <c r="K23" s="12">
        <f t="shared" si="5"/>
      </c>
      <c r="N23" s="1">
        <f t="shared" si="6"/>
      </c>
      <c r="O23" s="1">
        <f t="shared" si="7"/>
      </c>
      <c r="P23" s="1">
        <f t="shared" si="8"/>
      </c>
      <c r="Q23" s="1">
        <f t="shared" si="9"/>
      </c>
      <c r="R23" s="1">
        <f t="shared" si="10"/>
      </c>
      <c r="S23" s="1">
        <f t="shared" si="11"/>
      </c>
      <c r="T23" s="1">
        <f t="shared" si="12"/>
      </c>
      <c r="U23" s="1">
        <f t="shared" si="13"/>
      </c>
    </row>
    <row r="24" spans="2:21" ht="11.25">
      <c r="B24" s="24">
        <f>IF(ChV="","",Sbase-bvc1*(BVvc1-ChV))</f>
        <v>0.6662100000000001</v>
      </c>
      <c r="E24" s="1">
        <f t="shared" si="14"/>
        <v>40</v>
      </c>
      <c r="F24" s="12">
        <f t="shared" si="0"/>
        <v>0.4282700000000004</v>
      </c>
      <c r="G24" s="12">
        <f t="shared" si="1"/>
        <v>-0.20172999999999974</v>
      </c>
      <c r="H24" s="12">
        <f t="shared" si="2"/>
        <v>-0.8317299999999999</v>
      </c>
      <c r="I24" s="12">
        <f t="shared" si="3"/>
        <v>-1.4617299999999998</v>
      </c>
      <c r="J24" s="12">
        <f t="shared" si="4"/>
        <v>-2.09173</v>
      </c>
      <c r="K24" s="12">
        <f t="shared" si="5"/>
      </c>
      <c r="N24" s="1">
        <f t="shared" si="6"/>
      </c>
      <c r="O24" s="1">
        <f t="shared" si="7"/>
      </c>
      <c r="P24" s="1">
        <f t="shared" si="8"/>
      </c>
      <c r="Q24" s="1">
        <f t="shared" si="9"/>
      </c>
      <c r="R24" s="1">
        <f t="shared" si="10"/>
      </c>
      <c r="S24" s="1">
        <f t="shared" si="11"/>
      </c>
      <c r="T24" s="1">
        <f t="shared" si="12"/>
      </c>
      <c r="U24" s="1">
        <f t="shared" si="13"/>
      </c>
    </row>
    <row r="25" spans="2:21" ht="11.25">
      <c r="B25" s="1">
        <f>IF(ChV="","",Sbase-bvc1*(BVvc1-ChV))</f>
        <v>-0.7967899999999999</v>
      </c>
      <c r="E25" s="1">
        <f t="shared" si="14"/>
        <v>45</v>
      </c>
      <c r="F25" s="12">
        <f t="shared" si="0"/>
        <v>0.25827000000000033</v>
      </c>
      <c r="G25" s="12">
        <f t="shared" si="1"/>
        <v>-0.3717299999999998</v>
      </c>
      <c r="H25" s="12">
        <f t="shared" si="2"/>
        <v>-1.0017299999999998</v>
      </c>
      <c r="I25" s="12">
        <f t="shared" si="3"/>
        <v>-1.6317299999999997</v>
      </c>
      <c r="J25" s="12">
        <f t="shared" si="4"/>
        <v>-2.26173</v>
      </c>
      <c r="K25" s="12">
        <f t="shared" si="5"/>
      </c>
      <c r="N25" s="1">
        <f t="shared" si="6"/>
      </c>
      <c r="O25" s="1">
        <f t="shared" si="7"/>
      </c>
      <c r="P25" s="1">
        <f t="shared" si="8"/>
      </c>
      <c r="Q25" s="1">
        <f t="shared" si="9"/>
      </c>
      <c r="R25" s="1">
        <f t="shared" si="10"/>
      </c>
      <c r="S25" s="1">
        <f t="shared" si="11"/>
      </c>
      <c r="T25" s="1">
        <f t="shared" si="12"/>
      </c>
      <c r="U25" s="1">
        <f t="shared" si="13"/>
      </c>
    </row>
    <row r="26" spans="2:21" ht="11.25">
      <c r="B26" s="1">
        <f>IF(ChV="","",Sbase-bvc1*(BVvc1-ChV))</f>
        <v>-2.25979</v>
      </c>
      <c r="E26" s="1">
        <f t="shared" si="14"/>
        <v>50</v>
      </c>
      <c r="F26" s="12">
        <f t="shared" si="0"/>
        <v>0.08827000000000029</v>
      </c>
      <c r="G26" s="12">
        <f t="shared" si="1"/>
        <v>-0.5417299999999998</v>
      </c>
      <c r="H26" s="12">
        <f t="shared" si="2"/>
        <v>-1.17173</v>
      </c>
      <c r="I26" s="12">
        <f t="shared" si="3"/>
        <v>-1.8017299999999998</v>
      </c>
      <c r="J26" s="12">
        <f t="shared" si="4"/>
        <v>-2.43173</v>
      </c>
      <c r="K26" s="12">
        <f t="shared" si="5"/>
      </c>
      <c r="N26" s="1">
        <f t="shared" si="6"/>
      </c>
      <c r="O26" s="1">
        <f t="shared" si="7"/>
      </c>
      <c r="P26" s="1">
        <f t="shared" si="8"/>
      </c>
      <c r="Q26" s="1">
        <f t="shared" si="9"/>
      </c>
      <c r="R26" s="1">
        <f t="shared" si="10"/>
      </c>
      <c r="S26" s="1">
        <f t="shared" si="11"/>
      </c>
      <c r="T26" s="1">
        <f t="shared" si="12"/>
      </c>
      <c r="U26" s="1">
        <f t="shared" si="13"/>
      </c>
    </row>
    <row r="27" spans="2:21" ht="11.25">
      <c r="B27" s="1">
        <f>IF(ChV="","",Sbase-bvc1*(BVvc1-ChV))</f>
        <v>-3.7227899999999994</v>
      </c>
      <c r="E27" s="1">
        <f t="shared" si="14"/>
      </c>
      <c r="F27" s="12">
        <f t="shared" si="0"/>
      </c>
      <c r="G27" s="12">
        <f t="shared" si="1"/>
      </c>
      <c r="H27" s="12">
        <f t="shared" si="2"/>
      </c>
      <c r="I27" s="12">
        <f t="shared" si="3"/>
      </c>
      <c r="J27" s="12">
        <f t="shared" si="4"/>
      </c>
      <c r="K27" s="12">
        <f t="shared" si="5"/>
      </c>
      <c r="N27" s="1">
        <f t="shared" si="6"/>
      </c>
      <c r="O27" s="1">
        <f t="shared" si="7"/>
      </c>
      <c r="P27" s="1">
        <f t="shared" si="8"/>
      </c>
      <c r="Q27" s="1">
        <f t="shared" si="9"/>
      </c>
      <c r="R27" s="1">
        <f t="shared" si="10"/>
      </c>
      <c r="S27" s="1">
        <f t="shared" si="11"/>
      </c>
      <c r="T27" s="1">
        <f t="shared" si="12"/>
      </c>
      <c r="U27" s="1">
        <f t="shared" si="13"/>
      </c>
    </row>
    <row r="28" spans="2:21" ht="11.25">
      <c r="B28" s="1">
        <f>IF(ChV="","",Sbase-bvc1*(BVvc1-ChV))</f>
        <v>-5.185789999999999</v>
      </c>
      <c r="E28" s="1">
        <f t="shared" si="14"/>
      </c>
      <c r="F28" s="12">
        <f t="shared" si="0"/>
      </c>
      <c r="G28" s="12">
        <f t="shared" si="1"/>
      </c>
      <c r="H28" s="12">
        <f t="shared" si="2"/>
      </c>
      <c r="I28" s="12">
        <f t="shared" si="3"/>
      </c>
      <c r="J28" s="12">
        <f t="shared" si="4"/>
      </c>
      <c r="K28" s="12">
        <f t="shared" si="5"/>
      </c>
      <c r="N28" s="1">
        <f t="shared" si="6"/>
      </c>
      <c r="O28" s="1">
        <f t="shared" si="7"/>
      </c>
      <c r="P28" s="1">
        <f t="shared" si="8"/>
      </c>
      <c r="Q28" s="1">
        <f t="shared" si="9"/>
      </c>
      <c r="R28" s="1">
        <f t="shared" si="10"/>
      </c>
      <c r="S28" s="1">
        <f t="shared" si="11"/>
      </c>
      <c r="T28" s="1">
        <f t="shared" si="12"/>
      </c>
      <c r="U28" s="1">
        <f t="shared" si="13"/>
      </c>
    </row>
    <row r="29" spans="2:21" ht="11.25">
      <c r="B29" s="1">
        <f>IF(ChV="","",Sbase-bvc2*(BVvc2-ChV))</f>
        <v>0.08913000000000007</v>
      </c>
      <c r="E29" s="1">
        <f t="shared" si="14"/>
      </c>
      <c r="F29" s="12">
        <f t="shared" si="0"/>
      </c>
      <c r="G29" s="12">
        <f t="shared" si="1"/>
      </c>
      <c r="H29" s="12">
        <f t="shared" si="2"/>
      </c>
      <c r="I29" s="12">
        <f t="shared" si="3"/>
      </c>
      <c r="J29" s="12">
        <f t="shared" si="4"/>
      </c>
      <c r="K29" s="12">
        <f t="shared" si="5"/>
      </c>
      <c r="N29" s="1">
        <f t="shared" si="6"/>
      </c>
      <c r="O29" s="1">
        <f t="shared" si="7"/>
      </c>
      <c r="P29" s="1">
        <f t="shared" si="8"/>
      </c>
      <c r="Q29" s="1">
        <f t="shared" si="9"/>
      </c>
      <c r="R29" s="1">
        <f t="shared" si="10"/>
      </c>
      <c r="S29" s="1">
        <f t="shared" si="11"/>
      </c>
      <c r="T29" s="1">
        <f t="shared" si="12"/>
      </c>
      <c r="U29" s="1">
        <f t="shared" si="13"/>
      </c>
    </row>
    <row r="30" spans="2:21" ht="11.25">
      <c r="B30" s="1">
        <f>IF(ChV="","",Sbase-bvc2*(BVvc2-ChV))</f>
        <v>0.8961300000000001</v>
      </c>
      <c r="E30" s="1">
        <f t="shared" si="14"/>
      </c>
      <c r="F30" s="12">
        <f t="shared" si="0"/>
      </c>
      <c r="G30" s="12">
        <f t="shared" si="1"/>
      </c>
      <c r="H30" s="12">
        <f t="shared" si="2"/>
      </c>
      <c r="I30" s="12">
        <f t="shared" si="3"/>
      </c>
      <c r="J30" s="12">
        <f t="shared" si="4"/>
      </c>
      <c r="K30" s="12">
        <f t="shared" si="5"/>
      </c>
      <c r="N30" s="1">
        <f t="shared" si="6"/>
      </c>
      <c r="O30" s="1">
        <f t="shared" si="7"/>
      </c>
      <c r="P30" s="1">
        <f t="shared" si="8"/>
      </c>
      <c r="Q30" s="1">
        <f t="shared" si="9"/>
      </c>
      <c r="R30" s="1">
        <f t="shared" si="10"/>
      </c>
      <c r="S30" s="1">
        <f t="shared" si="11"/>
      </c>
      <c r="T30" s="1">
        <f t="shared" si="12"/>
      </c>
      <c r="U30" s="1">
        <f t="shared" si="13"/>
      </c>
    </row>
    <row r="31" spans="2:21" ht="11.25">
      <c r="B31" s="1">
        <f>IF(ChV="","",Sbase-bvc2*(BVvc2-ChV))</f>
      </c>
      <c r="E31" s="1">
        <f t="shared" si="14"/>
      </c>
      <c r="F31" s="12">
        <f t="shared" si="0"/>
      </c>
      <c r="G31" s="12">
        <f t="shared" si="1"/>
      </c>
      <c r="H31" s="12">
        <f t="shared" si="2"/>
      </c>
      <c r="I31" s="12">
        <f t="shared" si="3"/>
      </c>
      <c r="J31" s="12">
        <f t="shared" si="4"/>
      </c>
      <c r="K31" s="12">
        <f t="shared" si="5"/>
      </c>
      <c r="N31" s="1">
        <f t="shared" si="6"/>
      </c>
      <c r="O31" s="1">
        <f t="shared" si="7"/>
      </c>
      <c r="P31" s="1">
        <f t="shared" si="8"/>
      </c>
      <c r="Q31" s="1">
        <f t="shared" si="9"/>
      </c>
      <c r="R31" s="1">
        <f t="shared" si="10"/>
      </c>
      <c r="S31" s="1">
        <f t="shared" si="11"/>
      </c>
      <c r="T31" s="1">
        <f t="shared" si="12"/>
      </c>
      <c r="U31" s="1">
        <f t="shared" si="13"/>
      </c>
    </row>
    <row r="32" spans="2:21" ht="11.25">
      <c r="B32" s="1">
        <f>IF(ChV="","",Sbase-bvc2*(BVvc2-ChV))</f>
      </c>
      <c r="E32" s="1">
        <f t="shared" si="14"/>
      </c>
      <c r="F32" s="12">
        <f t="shared" si="0"/>
      </c>
      <c r="G32" s="12">
        <f t="shared" si="1"/>
      </c>
      <c r="H32" s="12">
        <f t="shared" si="2"/>
      </c>
      <c r="I32" s="12">
        <f t="shared" si="3"/>
      </c>
      <c r="J32" s="12">
        <f t="shared" si="4"/>
      </c>
      <c r="K32" s="12">
        <f t="shared" si="5"/>
      </c>
      <c r="N32" s="1">
        <f t="shared" si="6"/>
      </c>
      <c r="O32" s="1">
        <f t="shared" si="7"/>
      </c>
      <c r="P32" s="1">
        <f t="shared" si="8"/>
      </c>
      <c r="Q32" s="1">
        <f t="shared" si="9"/>
      </c>
      <c r="R32" s="1">
        <f t="shared" si="10"/>
      </c>
      <c r="S32" s="1">
        <f t="shared" si="11"/>
      </c>
      <c r="T32" s="1">
        <f t="shared" si="12"/>
      </c>
      <c r="U32" s="1">
        <f t="shared" si="13"/>
      </c>
    </row>
    <row r="33" spans="2:21" ht="11.25">
      <c r="B33" s="1">
        <f>IF(ChV="","",Sbase-bvc2*(BVvc2-ChV))</f>
      </c>
      <c r="E33" s="1">
        <f t="shared" si="14"/>
      </c>
      <c r="F33" s="12">
        <f t="shared" si="0"/>
      </c>
      <c r="G33" s="12">
        <f t="shared" si="1"/>
      </c>
      <c r="H33" s="12">
        <f t="shared" si="2"/>
      </c>
      <c r="I33" s="12">
        <f t="shared" si="3"/>
      </c>
      <c r="J33" s="12">
        <f t="shared" si="4"/>
      </c>
      <c r="K33" s="12">
        <f t="shared" si="5"/>
      </c>
      <c r="N33" s="1">
        <f t="shared" si="6"/>
      </c>
      <c r="O33" s="1">
        <f t="shared" si="7"/>
      </c>
      <c r="P33" s="1">
        <f t="shared" si="8"/>
      </c>
      <c r="Q33" s="1">
        <f t="shared" si="9"/>
      </c>
      <c r="R33" s="1">
        <f t="shared" si="10"/>
      </c>
      <c r="S33" s="1">
        <f t="shared" si="11"/>
      </c>
      <c r="T33" s="1">
        <f t="shared" si="12"/>
      </c>
      <c r="U33" s="1">
        <f t="shared" si="13"/>
      </c>
    </row>
    <row r="34" spans="2:21" ht="11.25">
      <c r="B34" s="1">
        <f>IF(ChV="","",Sbase-bvc3*(BVvc3-ChV))</f>
        <v>1.1038500000000004</v>
      </c>
      <c r="E34" s="1">
        <f t="shared" si="14"/>
      </c>
      <c r="F34" s="12">
        <f t="shared" si="0"/>
      </c>
      <c r="G34" s="12">
        <f t="shared" si="1"/>
      </c>
      <c r="H34" s="12">
        <f t="shared" si="2"/>
      </c>
      <c r="I34" s="12">
        <f t="shared" si="3"/>
      </c>
      <c r="J34" s="12">
        <f t="shared" si="4"/>
      </c>
      <c r="K34" s="12">
        <f t="shared" si="5"/>
      </c>
      <c r="N34" s="1">
        <f t="shared" si="6"/>
      </c>
      <c r="O34" s="1">
        <f t="shared" si="7"/>
      </c>
      <c r="P34" s="1">
        <f t="shared" si="8"/>
      </c>
      <c r="Q34" s="1">
        <f t="shared" si="9"/>
      </c>
      <c r="R34" s="1">
        <f t="shared" si="10"/>
      </c>
      <c r="S34" s="1">
        <f t="shared" si="11"/>
      </c>
      <c r="T34" s="1">
        <f t="shared" si="12"/>
      </c>
      <c r="U34" s="1">
        <f t="shared" si="13"/>
      </c>
    </row>
    <row r="35" spans="2:21" ht="11.25">
      <c r="B35" s="1">
        <f>IF(ChV="","",Sbase-bvc3*(BVvc3-ChV))</f>
        <v>0.4738500000000003</v>
      </c>
      <c r="E35" s="5">
        <f t="shared" si="14"/>
      </c>
      <c r="F35" s="5">
        <f t="shared" si="0"/>
      </c>
      <c r="G35" s="5">
        <f t="shared" si="1"/>
      </c>
      <c r="H35" s="5">
        <f t="shared" si="2"/>
      </c>
      <c r="I35" s="5">
        <f t="shared" si="3"/>
      </c>
      <c r="J35" s="5">
        <f t="shared" si="4"/>
      </c>
      <c r="K35" s="5">
        <f t="shared" si="5"/>
      </c>
      <c r="N35" s="1">
        <f t="shared" si="6"/>
      </c>
      <c r="O35" s="1">
        <f t="shared" si="7"/>
      </c>
      <c r="P35" s="1">
        <f t="shared" si="8"/>
      </c>
      <c r="Q35" s="1">
        <f t="shared" si="9"/>
      </c>
      <c r="R35" s="1">
        <f t="shared" si="10"/>
      </c>
      <c r="S35" s="1">
        <f t="shared" si="11"/>
      </c>
      <c r="T35" s="1">
        <f t="shared" si="12"/>
      </c>
      <c r="U35" s="1">
        <f t="shared" si="13"/>
      </c>
    </row>
    <row r="36" spans="2:21" ht="11.25">
      <c r="B36" s="1">
        <f>IF(ChV="","",Sbase-bvc3*(BVvc3-ChV))</f>
        <v>-0.15614999999999973</v>
      </c>
      <c r="N36" s="1">
        <f t="shared" si="6"/>
      </c>
      <c r="O36" s="1">
        <f t="shared" si="7"/>
      </c>
      <c r="P36" s="1">
        <f t="shared" si="8"/>
      </c>
      <c r="Q36" s="1">
        <f t="shared" si="9"/>
      </c>
      <c r="R36" s="1">
        <f t="shared" si="10"/>
      </c>
      <c r="S36" s="1">
        <f t="shared" si="11"/>
      </c>
      <c r="T36" s="1">
        <f t="shared" si="12"/>
      </c>
      <c r="U36" s="1">
        <f t="shared" si="13"/>
      </c>
    </row>
    <row r="37" spans="2:21" ht="11.25">
      <c r="B37" s="1">
        <f>IF(ChV="","",Sbase-bvc3*(BVvc3-ChV))</f>
        <v>-0.7861499999999997</v>
      </c>
      <c r="N37" s="1">
        <f t="shared" si="6"/>
      </c>
      <c r="O37" s="1">
        <f t="shared" si="7"/>
      </c>
      <c r="P37" s="1">
        <f t="shared" si="8"/>
      </c>
      <c r="Q37" s="1">
        <f t="shared" si="9"/>
      </c>
      <c r="R37" s="1">
        <f t="shared" si="10"/>
      </c>
      <c r="S37" s="1">
        <f t="shared" si="11"/>
      </c>
      <c r="T37" s="1">
        <f t="shared" si="12"/>
      </c>
      <c r="U37" s="1">
        <f t="shared" si="13"/>
      </c>
    </row>
    <row r="38" spans="2:21" ht="11.25">
      <c r="B38" s="5">
        <f>IF(ChV="","",Sbase-bvc3*(BVvc3-ChV))</f>
        <v>-1.4161499999999998</v>
      </c>
      <c r="N38" s="1">
        <f t="shared" si="6"/>
      </c>
      <c r="O38" s="1">
        <f t="shared" si="7"/>
      </c>
      <c r="P38" s="1">
        <f t="shared" si="8"/>
      </c>
      <c r="Q38" s="1">
        <f t="shared" si="9"/>
      </c>
      <c r="R38" s="1">
        <f t="shared" si="10"/>
      </c>
      <c r="S38" s="1">
        <f t="shared" si="11"/>
      </c>
      <c r="T38" s="1">
        <f t="shared" si="12"/>
      </c>
      <c r="U38" s="1">
        <f t="shared" si="13"/>
      </c>
    </row>
    <row r="39" spans="3:21" ht="11.25">
      <c r="C39" s="1"/>
      <c r="N39" s="1">
        <f t="shared" si="6"/>
      </c>
      <c r="O39" s="1">
        <f t="shared" si="7"/>
      </c>
      <c r="P39" s="1">
        <f t="shared" si="8"/>
      </c>
      <c r="Q39" s="1">
        <f t="shared" si="9"/>
      </c>
      <c r="R39" s="1">
        <f t="shared" si="10"/>
      </c>
      <c r="S39" s="1">
        <f t="shared" si="11"/>
      </c>
      <c r="T39" s="1">
        <f t="shared" si="12"/>
      </c>
      <c r="U39" s="1">
        <f t="shared" si="13"/>
      </c>
    </row>
    <row r="40" spans="14:21" ht="11.25">
      <c r="N40" s="1">
        <f t="shared" si="6"/>
      </c>
      <c r="O40" s="1">
        <f t="shared" si="7"/>
      </c>
      <c r="P40" s="1">
        <f t="shared" si="8"/>
      </c>
      <c r="Q40" s="1">
        <f t="shared" si="9"/>
      </c>
      <c r="R40" s="1">
        <f t="shared" si="10"/>
      </c>
      <c r="S40" s="1">
        <f t="shared" si="11"/>
      </c>
      <c r="T40" s="1">
        <f t="shared" si="12"/>
      </c>
      <c r="U40" s="1">
        <f t="shared" si="13"/>
      </c>
    </row>
    <row r="41" spans="14:21" ht="11.25">
      <c r="N41" s="1">
        <f t="shared" si="6"/>
      </c>
      <c r="O41" s="1">
        <f t="shared" si="7"/>
      </c>
      <c r="P41" s="1">
        <f t="shared" si="8"/>
      </c>
      <c r="Q41" s="1">
        <f t="shared" si="9"/>
      </c>
      <c r="R41" s="1">
        <f t="shared" si="10"/>
      </c>
      <c r="S41" s="1">
        <f t="shared" si="11"/>
      </c>
      <c r="T41" s="1">
        <f t="shared" si="12"/>
      </c>
      <c r="U41" s="1">
        <f t="shared" si="13"/>
      </c>
    </row>
    <row r="42" spans="14:21" ht="11.25">
      <c r="N42" s="1">
        <f t="shared" si="6"/>
      </c>
      <c r="O42" s="1">
        <f t="shared" si="7"/>
      </c>
      <c r="P42" s="1">
        <f t="shared" si="8"/>
      </c>
      <c r="Q42" s="1">
        <f t="shared" si="9"/>
      </c>
      <c r="R42" s="1">
        <f t="shared" si="10"/>
      </c>
      <c r="S42" s="1">
        <f t="shared" si="11"/>
      </c>
      <c r="T42" s="1">
        <f t="shared" si="12"/>
      </c>
      <c r="U42" s="1">
        <f t="shared" si="13"/>
      </c>
    </row>
    <row r="43" spans="14:21" ht="11.25">
      <c r="N43" s="1">
        <f t="shared" si="6"/>
      </c>
      <c r="O43" s="1">
        <f t="shared" si="7"/>
      </c>
      <c r="P43" s="1">
        <f t="shared" si="8"/>
      </c>
      <c r="Q43" s="1">
        <f t="shared" si="9"/>
      </c>
      <c r="R43" s="1">
        <f t="shared" si="10"/>
      </c>
      <c r="S43" s="1">
        <f t="shared" si="11"/>
      </c>
      <c r="T43" s="1">
        <f t="shared" si="12"/>
      </c>
      <c r="U43" s="1">
        <f t="shared" si="13"/>
      </c>
    </row>
    <row r="44" spans="14:21" ht="11.25">
      <c r="N44" s="1">
        <f t="shared" si="6"/>
      </c>
      <c r="O44" s="1">
        <f t="shared" si="7"/>
      </c>
      <c r="P44" s="1">
        <f t="shared" si="8"/>
      </c>
      <c r="Q44" s="1">
        <f t="shared" si="9"/>
      </c>
      <c r="R44" s="1">
        <f t="shared" si="10"/>
      </c>
      <c r="S44" s="1">
        <f t="shared" si="11"/>
      </c>
      <c r="T44" s="1">
        <f t="shared" si="12"/>
      </c>
      <c r="U44" s="1">
        <f t="shared" si="13"/>
      </c>
    </row>
    <row r="45" spans="14:21" ht="11.25">
      <c r="N45" s="1">
        <f t="shared" si="6"/>
      </c>
      <c r="O45" s="1">
        <f t="shared" si="7"/>
      </c>
      <c r="P45" s="1">
        <f t="shared" si="8"/>
      </c>
      <c r="Q45" s="1">
        <f t="shared" si="9"/>
      </c>
      <c r="R45" s="1">
        <f t="shared" si="10"/>
      </c>
      <c r="S45" s="1">
        <f t="shared" si="11"/>
      </c>
      <c r="T45" s="1">
        <f t="shared" si="12"/>
      </c>
      <c r="U45" s="1">
        <f t="shared" si="13"/>
      </c>
    </row>
    <row r="46" spans="14:21" ht="11.25">
      <c r="N46" s="1">
        <f t="shared" si="6"/>
      </c>
      <c r="O46" s="1">
        <f t="shared" si="7"/>
      </c>
      <c r="P46" s="1">
        <f t="shared" si="8"/>
      </c>
      <c r="Q46" s="1">
        <f t="shared" si="9"/>
      </c>
      <c r="R46" s="1">
        <f t="shared" si="10"/>
      </c>
      <c r="S46" s="1">
        <f t="shared" si="11"/>
      </c>
      <c r="T46" s="1">
        <f t="shared" si="12"/>
      </c>
      <c r="U46" s="1">
        <f t="shared" si="13"/>
      </c>
    </row>
    <row r="47" spans="14:21" ht="11.25">
      <c r="N47" s="1">
        <f t="shared" si="6"/>
      </c>
      <c r="O47" s="1">
        <f t="shared" si="7"/>
      </c>
      <c r="P47" s="1">
        <f t="shared" si="8"/>
      </c>
      <c r="Q47" s="1">
        <f t="shared" si="9"/>
      </c>
      <c r="R47" s="1">
        <f t="shared" si="10"/>
      </c>
      <c r="S47" s="1">
        <f t="shared" si="11"/>
      </c>
      <c r="T47" s="1">
        <f t="shared" si="12"/>
      </c>
      <c r="U47" s="1">
        <f t="shared" si="13"/>
      </c>
    </row>
    <row r="48" spans="14:21" ht="11.25">
      <c r="N48" s="1">
        <f t="shared" si="6"/>
      </c>
      <c r="O48" s="1">
        <f t="shared" si="7"/>
      </c>
      <c r="P48" s="1">
        <f t="shared" si="8"/>
      </c>
      <c r="Q48" s="1">
        <f t="shared" si="9"/>
      </c>
      <c r="R48" s="1">
        <f t="shared" si="10"/>
      </c>
      <c r="S48" s="1">
        <f t="shared" si="11"/>
      </c>
      <c r="T48" s="1">
        <f t="shared" si="12"/>
      </c>
      <c r="U48" s="1">
        <f t="shared" si="13"/>
      </c>
    </row>
    <row r="49" spans="14:21" ht="11.25">
      <c r="N49" s="1">
        <f t="shared" si="6"/>
      </c>
      <c r="O49" s="1">
        <f t="shared" si="7"/>
      </c>
      <c r="P49" s="1">
        <f t="shared" si="8"/>
      </c>
      <c r="Q49" s="1">
        <f t="shared" si="9"/>
      </c>
      <c r="R49" s="1">
        <f t="shared" si="10"/>
      </c>
      <c r="S49" s="1">
        <f t="shared" si="11"/>
      </c>
      <c r="T49" s="1">
        <f t="shared" si="12"/>
      </c>
      <c r="U49" s="1">
        <f t="shared" si="13"/>
      </c>
    </row>
    <row r="50" spans="14:21" ht="11.25">
      <c r="N50" s="1">
        <f t="shared" si="6"/>
      </c>
      <c r="O50" s="1">
        <f t="shared" si="7"/>
      </c>
      <c r="P50" s="1">
        <f t="shared" si="8"/>
      </c>
      <c r="Q50" s="1">
        <f t="shared" si="9"/>
      </c>
      <c r="R50" s="1">
        <f t="shared" si="10"/>
      </c>
      <c r="S50" s="1">
        <f t="shared" si="11"/>
      </c>
      <c r="T50" s="1">
        <f t="shared" si="12"/>
      </c>
      <c r="U50" s="1">
        <f t="shared" si="13"/>
      </c>
    </row>
    <row r="51" spans="14:21" ht="11.25">
      <c r="N51" s="1">
        <f t="shared" si="6"/>
      </c>
      <c r="O51" s="1">
        <f t="shared" si="7"/>
      </c>
      <c r="P51" s="1">
        <f t="shared" si="8"/>
      </c>
      <c r="Q51" s="1">
        <f t="shared" si="9"/>
      </c>
      <c r="R51" s="1">
        <f t="shared" si="10"/>
      </c>
      <c r="S51" s="1">
        <f t="shared" si="11"/>
      </c>
      <c r="T51" s="1">
        <f t="shared" si="12"/>
      </c>
      <c r="U51" s="1">
        <f t="shared" si="13"/>
      </c>
    </row>
    <row r="52" spans="14:21" ht="11.25">
      <c r="N52" s="1">
        <f t="shared" si="6"/>
      </c>
      <c r="O52" s="1">
        <f t="shared" si="7"/>
      </c>
      <c r="P52" s="1">
        <f t="shared" si="8"/>
      </c>
      <c r="Q52" s="1">
        <f t="shared" si="9"/>
      </c>
      <c r="R52" s="1">
        <f t="shared" si="10"/>
      </c>
      <c r="S52" s="1">
        <f t="shared" si="11"/>
      </c>
      <c r="T52" s="1">
        <f t="shared" si="12"/>
      </c>
      <c r="U52" s="1">
        <f t="shared" si="13"/>
      </c>
    </row>
    <row r="53" spans="14:21" ht="11.25">
      <c r="N53" s="1">
        <f t="shared" si="6"/>
      </c>
      <c r="O53" s="1">
        <f t="shared" si="7"/>
      </c>
      <c r="P53" s="1">
        <f t="shared" si="8"/>
      </c>
      <c r="Q53" s="1">
        <f t="shared" si="9"/>
      </c>
      <c r="R53" s="1">
        <f t="shared" si="10"/>
      </c>
      <c r="S53" s="1">
        <f t="shared" si="11"/>
      </c>
      <c r="T53" s="1">
        <f t="shared" si="12"/>
      </c>
      <c r="U53" s="1">
        <f t="shared" si="13"/>
      </c>
    </row>
    <row r="54" spans="14:21" ht="11.25">
      <c r="N54" s="1">
        <f t="shared" si="6"/>
      </c>
      <c r="O54" s="1">
        <f t="shared" si="7"/>
      </c>
      <c r="P54" s="1">
        <f t="shared" si="8"/>
      </c>
      <c r="Q54" s="1">
        <f t="shared" si="9"/>
      </c>
      <c r="R54" s="1">
        <f t="shared" si="10"/>
      </c>
      <c r="S54" s="1">
        <f t="shared" si="11"/>
      </c>
      <c r="T54" s="1">
        <f t="shared" si="12"/>
      </c>
      <c r="U54" s="1">
        <f t="shared" si="13"/>
      </c>
    </row>
    <row r="55" spans="14:21" ht="11.25">
      <c r="N55" s="1">
        <f t="shared" si="6"/>
      </c>
      <c r="O55" s="1">
        <f t="shared" si="7"/>
      </c>
      <c r="P55" s="1">
        <f t="shared" si="8"/>
      </c>
      <c r="Q55" s="1">
        <f t="shared" si="9"/>
      </c>
      <c r="R55" s="1">
        <f t="shared" si="10"/>
      </c>
      <c r="S55" s="1">
        <f t="shared" si="11"/>
      </c>
      <c r="T55" s="1">
        <f t="shared" si="12"/>
      </c>
      <c r="U55" s="1">
        <f t="shared" si="13"/>
      </c>
    </row>
    <row r="56" spans="14:21" ht="11.25">
      <c r="N56" s="1">
        <f t="shared" si="6"/>
      </c>
      <c r="O56" s="1">
        <f t="shared" si="7"/>
      </c>
      <c r="P56" s="1">
        <f t="shared" si="8"/>
      </c>
      <c r="Q56" s="1">
        <f t="shared" si="9"/>
      </c>
      <c r="R56" s="1">
        <f t="shared" si="10"/>
      </c>
      <c r="S56" s="1">
        <f t="shared" si="11"/>
      </c>
      <c r="T56" s="1">
        <f t="shared" si="12"/>
      </c>
      <c r="U56" s="1">
        <f t="shared" si="13"/>
      </c>
    </row>
    <row r="57" spans="14:21" ht="11.25">
      <c r="N57" s="1">
        <f t="shared" si="6"/>
      </c>
      <c r="O57" s="1">
        <f t="shared" si="7"/>
      </c>
      <c r="P57" s="1">
        <f t="shared" si="8"/>
      </c>
      <c r="Q57" s="1">
        <f t="shared" si="9"/>
      </c>
      <c r="R57" s="1">
        <f t="shared" si="10"/>
      </c>
      <c r="S57" s="1">
        <f t="shared" si="11"/>
      </c>
      <c r="T57" s="1">
        <f t="shared" si="12"/>
      </c>
      <c r="U57" s="1">
        <f t="shared" si="13"/>
      </c>
    </row>
    <row r="58" spans="14:21" ht="11.25">
      <c r="N58" s="1">
        <f t="shared" si="6"/>
      </c>
      <c r="O58" s="1">
        <f t="shared" si="7"/>
      </c>
      <c r="P58" s="1">
        <f t="shared" si="8"/>
      </c>
      <c r="Q58" s="1">
        <f t="shared" si="9"/>
      </c>
      <c r="R58" s="1">
        <f t="shared" si="10"/>
      </c>
      <c r="S58" s="1">
        <f t="shared" si="11"/>
      </c>
      <c r="T58" s="1">
        <f t="shared" si="12"/>
      </c>
      <c r="U58" s="1">
        <f t="shared" si="13"/>
      </c>
    </row>
    <row r="59" spans="14:21" ht="11.25">
      <c r="N59" s="1">
        <f t="shared" si="6"/>
      </c>
      <c r="O59" s="1">
        <f t="shared" si="7"/>
      </c>
      <c r="P59" s="1">
        <f t="shared" si="8"/>
      </c>
      <c r="Q59" s="1">
        <f t="shared" si="9"/>
      </c>
      <c r="R59" s="1">
        <f t="shared" si="10"/>
      </c>
      <c r="S59" s="1">
        <f t="shared" si="11"/>
      </c>
      <c r="T59" s="1">
        <f t="shared" si="12"/>
      </c>
      <c r="U59" s="1">
        <f t="shared" si="13"/>
      </c>
    </row>
    <row r="60" spans="14:21" ht="11.25">
      <c r="N60" s="1">
        <f t="shared" si="6"/>
      </c>
      <c r="O60" s="1">
        <f t="shared" si="7"/>
      </c>
      <c r="P60" s="1">
        <f t="shared" si="8"/>
      </c>
      <c r="Q60" s="1">
        <f t="shared" si="9"/>
      </c>
      <c r="R60" s="1">
        <f t="shared" si="10"/>
      </c>
      <c r="S60" s="1">
        <f t="shared" si="11"/>
      </c>
      <c r="T60" s="1">
        <f t="shared" si="12"/>
      </c>
      <c r="U60" s="1">
        <f t="shared" si="13"/>
      </c>
    </row>
    <row r="61" spans="14:21" ht="11.25">
      <c r="N61" s="1">
        <f t="shared" si="6"/>
      </c>
      <c r="O61" s="1">
        <f t="shared" si="7"/>
      </c>
      <c r="P61" s="1">
        <f t="shared" si="8"/>
      </c>
      <c r="Q61" s="1">
        <f t="shared" si="9"/>
      </c>
      <c r="R61" s="1">
        <f t="shared" si="10"/>
      </c>
      <c r="S61" s="1">
        <f t="shared" si="11"/>
      </c>
      <c r="T61" s="1">
        <f t="shared" si="12"/>
      </c>
      <c r="U61" s="1">
        <f t="shared" si="13"/>
      </c>
    </row>
    <row r="62" spans="14:21" ht="11.25">
      <c r="N62" s="1">
        <f t="shared" si="6"/>
      </c>
      <c r="O62" s="1">
        <f t="shared" si="7"/>
      </c>
      <c r="P62" s="1">
        <f t="shared" si="8"/>
      </c>
      <c r="Q62" s="1">
        <f t="shared" si="9"/>
      </c>
      <c r="R62" s="1">
        <f t="shared" si="10"/>
      </c>
      <c r="S62" s="1">
        <f t="shared" si="11"/>
      </c>
      <c r="T62" s="1">
        <f t="shared" si="12"/>
      </c>
      <c r="U62" s="1">
        <f t="shared" si="13"/>
      </c>
    </row>
    <row r="63" spans="14:21" ht="11.25">
      <c r="N63" s="1">
        <f t="shared" si="6"/>
      </c>
      <c r="O63" s="1">
        <f t="shared" si="7"/>
      </c>
      <c r="P63" s="1">
        <f t="shared" si="8"/>
      </c>
      <c r="Q63" s="1">
        <f t="shared" si="9"/>
      </c>
      <c r="R63" s="1">
        <f t="shared" si="10"/>
      </c>
      <c r="S63" s="1">
        <f t="shared" si="11"/>
      </c>
      <c r="T63" s="1">
        <f t="shared" si="12"/>
      </c>
      <c r="U63" s="1">
        <f t="shared" si="13"/>
      </c>
    </row>
    <row r="64" spans="14:21" ht="11.25">
      <c r="N64" s="1">
        <f t="shared" si="6"/>
      </c>
      <c r="O64" s="1">
        <f t="shared" si="7"/>
      </c>
      <c r="P64" s="1">
        <f t="shared" si="8"/>
      </c>
      <c r="Q64" s="1">
        <f t="shared" si="9"/>
      </c>
      <c r="R64" s="1">
        <f t="shared" si="10"/>
      </c>
      <c r="S64" s="1">
        <f t="shared" si="11"/>
      </c>
      <c r="T64" s="1">
        <f t="shared" si="12"/>
      </c>
      <c r="U64" s="1">
        <f t="shared" si="13"/>
      </c>
    </row>
    <row r="65" spans="14:21" ht="11.25">
      <c r="N65" s="5">
        <f t="shared" si="6"/>
      </c>
      <c r="O65" s="5">
        <f t="shared" si="7"/>
      </c>
      <c r="P65" s="5">
        <f t="shared" si="8"/>
      </c>
      <c r="Q65" s="5">
        <f t="shared" si="9"/>
      </c>
      <c r="R65" s="5">
        <f t="shared" si="10"/>
      </c>
      <c r="S65" s="5">
        <f t="shared" si="11"/>
      </c>
      <c r="T65" s="5">
        <f t="shared" si="12"/>
      </c>
      <c r="U65" s="5">
        <f t="shared" si="13"/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IU-Sociology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Logit Post Estimation</dc:title>
  <dc:subject/>
  <dc:creator>J. Scott Long and Simon Cheng</dc:creator>
  <cp:keywords/>
  <dc:description/>
  <cp:lastModifiedBy>Simon Cheng</cp:lastModifiedBy>
  <cp:lastPrinted>1999-09-06T06:54:00Z</cp:lastPrinted>
  <dcterms:created xsi:type="dcterms:W3CDTF">1999-06-12T19:41:52Z</dcterms:created>
  <dcterms:modified xsi:type="dcterms:W3CDTF">2000-05-11T19:15:20Z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