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450" windowHeight="5040" tabRatio="742" activeTab="0"/>
  </bookViews>
  <sheets>
    <sheet name="Input" sheetId="1" r:id="rId1"/>
    <sheet name="Calculator" sheetId="2" r:id="rId2"/>
    <sheet name="Plotter" sheetId="3" r:id="rId3"/>
    <sheet name="Change" sheetId="4" r:id="rId4"/>
    <sheet name="Tech" sheetId="5" state="hidden" r:id="rId5"/>
  </sheets>
  <definedNames>
    <definedName name="Alpha">'Input'!$R$15</definedName>
    <definedName name="Bval">'Input'!$I$16:$I$65</definedName>
    <definedName name="bval1">'Tech'!$F$3</definedName>
    <definedName name="bval2">'Tech'!$F$4</definedName>
    <definedName name="bval3">'Tech'!$F$5</definedName>
    <definedName name="ChV">'Calculator'!$D$29:$D$43</definedName>
    <definedName name="Constant">'Tech'!$F$19</definedName>
    <definedName name="Enbase">'Tech'!$F$21</definedName>
    <definedName name="Enmax">'Tech'!$F$24</definedName>
    <definedName name="Enmin">'Tech'!$F$23</definedName>
    <definedName name="Enmn">'Tech'!$F$22</definedName>
    <definedName name="Epb">'Tech'!$C$17</definedName>
    <definedName name="Epmax">'Tech'!$C$20</definedName>
    <definedName name="Epmin">'Tech'!$C$19</definedName>
    <definedName name="Epmn">'Tech'!$C$18</definedName>
    <definedName name="Expns">'Tech'!$E$46:$E$60</definedName>
    <definedName name="Expps">'Tech'!$C$29:$C$43</definedName>
    <definedName name="inva">'Tech'!$F$17</definedName>
    <definedName name="MAX">'Input'!$F$16:$F$65</definedName>
    <definedName name="MIN">'Input'!$E$16:$E$65</definedName>
    <definedName name="Mn">'Input'!$C$16:$C$65</definedName>
    <definedName name="NB">'Input'!$O$16:$O$65</definedName>
    <definedName name="nbvc1">'Tech'!$F$8</definedName>
    <definedName name="nbvc2">'Tech'!$F$9</definedName>
    <definedName name="nbvc3">'Tech'!$F$10</definedName>
    <definedName name="Ncon">'Input'!$O$15</definedName>
    <definedName name="NmPc">'Calculator'!$I$8</definedName>
    <definedName name="NmPP">'Plotter'!$G$7</definedName>
    <definedName name="Nsbase">'Tech'!$F$12</definedName>
    <definedName name="Nsmax">'Tech'!$F$15</definedName>
    <definedName name="Nsmin">'Tech'!$F$14</definedName>
    <definedName name="Nsmn">'Tech'!$F$13</definedName>
    <definedName name="Obm">'Input'!$C$9</definedName>
    <definedName name="ObP">'Input'!$U$16:$U$65</definedName>
    <definedName name="PB">'Input'!$K$16:$K$65</definedName>
    <definedName name="pbvc1">'Tech'!$C$8</definedName>
    <definedName name="pbvc2">'Tech'!$C$9</definedName>
    <definedName name="pbvc3">'Tech'!$C$10</definedName>
    <definedName name="Pcon">'Input'!$K$15</definedName>
    <definedName name="Psbase">'Tech'!$C$12</definedName>
    <definedName name="Psmax">'Tech'!$C$15</definedName>
    <definedName name="Psmin">'Tech'!$C$14</definedName>
    <definedName name="Psmn">'Tech'!$C$13</definedName>
    <definedName name="RHV">'Input'!$B$16:$B$65</definedName>
    <definedName name="Sd">'Input'!$D$16:$D$65</definedName>
    <definedName name="vc1th">'Tech'!$C$3</definedName>
    <definedName name="vc2th">'Tech'!$C$4</definedName>
    <definedName name="vc3th">'Tech'!$C$5</definedName>
    <definedName name="vtoc1">'Calculator'!$C$31</definedName>
    <definedName name="vtoc2">'Calculator'!$C$36</definedName>
    <definedName name="vtoc3">'Calculator'!$C$41</definedName>
    <definedName name="Vtype">'Input'!$G$16:$G$65</definedName>
  </definedNames>
  <calcPr fullCalcOnLoad="1"/>
</workbook>
</file>

<file path=xl/comments1.xml><?xml version="1.0" encoding="utf-8"?>
<comments xmlns="http://schemas.openxmlformats.org/spreadsheetml/2006/main">
  <authors>
    <author>Simon Cheng</author>
  </authors>
  <commentList>
    <comment ref="G13" authorId="0">
      <text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C = Cotinuous
 B = Binary
(Case Insensitive)</t>
        </r>
      </text>
    </comment>
    <comment ref="H13" authorId="0">
      <text>
        <r>
          <rPr>
            <sz val="10"/>
            <rFont val="Tahoma"/>
            <family val="2"/>
          </rPr>
          <t>To specify the base values, enter:
 # = any number (e.g., 1.2)
 m = mean
 min = minimum
 max = maximum
(case insensitive)</t>
        </r>
      </text>
    </comment>
  </commentList>
</comments>
</file>

<file path=xl/sharedStrings.xml><?xml version="1.0" encoding="utf-8"?>
<sst xmlns="http://schemas.openxmlformats.org/spreadsheetml/2006/main" count="223" uniqueCount="141">
  <si>
    <t>b</t>
  </si>
  <si>
    <t>Mean</t>
  </si>
  <si>
    <t>Min</t>
  </si>
  <si>
    <t>Max</t>
  </si>
  <si>
    <t>---</t>
  </si>
  <si>
    <t>Constant</t>
  </si>
  <si>
    <t>ART</t>
  </si>
  <si>
    <t>FEM</t>
  </si>
  <si>
    <t>MAR</t>
  </si>
  <si>
    <t>KID5</t>
  </si>
  <si>
    <t>PHD</t>
  </si>
  <si>
    <t>MENT</t>
  </si>
  <si>
    <t>Variable</t>
  </si>
  <si>
    <t>Base</t>
  </si>
  <si>
    <t>Type</t>
  </si>
  <si>
    <t>Value</t>
  </si>
  <si>
    <t>Notes</t>
  </si>
  <si>
    <t>c</t>
  </si>
  <si>
    <t>Calculator</t>
  </si>
  <si>
    <t>Minimum</t>
  </si>
  <si>
    <t>Maximum</t>
  </si>
  <si>
    <t xml:space="preserve">  (Up to 50 Counts)</t>
  </si>
  <si>
    <t>Values</t>
  </si>
  <si>
    <t>Plotter</t>
  </si>
  <si>
    <t xml:space="preserve"> -- up to 50 points</t>
  </si>
  <si>
    <t xml:space="preserve"> --- Optional ---</t>
  </si>
  <si>
    <t>m</t>
  </si>
  <si>
    <t>0--&gt;1</t>
  </si>
  <si>
    <t>D s</t>
  </si>
  <si>
    <t>Marginal</t>
  </si>
  <si>
    <t>Effect</t>
  </si>
  <si>
    <r>
      <t>D</t>
    </r>
    <r>
      <rPr>
        <i/>
        <sz val="9"/>
        <rFont val="Arial"/>
        <family val="0"/>
      </rPr>
      <t xml:space="preserve"> Range</t>
    </r>
  </si>
  <si>
    <r>
      <t>D</t>
    </r>
    <r>
      <rPr>
        <i/>
        <sz val="9"/>
        <rFont val="Arial"/>
        <family val="0"/>
      </rPr>
      <t xml:space="preserve"> 1</t>
    </r>
  </si>
  <si>
    <t>Factor  Change</t>
  </si>
  <si>
    <t>Unit</t>
  </si>
  <si>
    <t xml:space="preserve">       Discrete Change</t>
  </si>
  <si>
    <t>Poisson</t>
  </si>
  <si>
    <t>Negative Binomial</t>
  </si>
  <si>
    <t>Alpha</t>
  </si>
  <si>
    <t>NB</t>
  </si>
  <si>
    <t>Observed</t>
  </si>
  <si>
    <t xml:space="preserve">    1.  Enter all of your information in the light green cells, such as this: </t>
  </si>
  <si>
    <t>Basic Information</t>
  </si>
  <si>
    <t>Name</t>
  </si>
  <si>
    <t>Std</t>
  </si>
  <si>
    <t>Poisson &amp; Negative Binomial Regressions</t>
  </si>
  <si>
    <t>Dev</t>
  </si>
  <si>
    <t>Coefs</t>
  </si>
  <si>
    <t>z-value</t>
  </si>
  <si>
    <t>Vtype</t>
  </si>
  <si>
    <t>Table 1.  Predicted Probability</t>
  </si>
  <si>
    <t>vary the following variables and calculate the predicted probabilities at the specified values.</t>
  </si>
  <si>
    <r>
      <t xml:space="preserve">     P ( y = </t>
    </r>
    <r>
      <rPr>
        <i/>
        <sz val="9"/>
        <rFont val="Arial"/>
        <family val="2"/>
      </rPr>
      <t>k</t>
    </r>
    <r>
      <rPr>
        <sz val="9"/>
        <rFont val="Arial"/>
        <family val="2"/>
      </rPr>
      <t xml:space="preserve"> )</t>
    </r>
  </si>
  <si>
    <r>
      <t xml:space="preserve">P ( y &gt; Max </t>
    </r>
    <r>
      <rPr>
        <i/>
        <sz val="9"/>
        <rFont val="Arial"/>
        <family val="2"/>
      </rPr>
      <t xml:space="preserve">k </t>
    </r>
    <r>
      <rPr>
        <sz val="9"/>
        <rFont val="Arial"/>
        <family val="2"/>
      </rPr>
      <t>)</t>
    </r>
  </si>
  <si>
    <t xml:space="preserve">  With other variables held at their base values, </t>
  </si>
  <si>
    <t xml:space="preserve">  Values</t>
  </si>
  <si>
    <t xml:space="preserve">  held at:</t>
  </si>
  <si>
    <t>1.</t>
  </si>
  <si>
    <t>2.</t>
  </si>
  <si>
    <t>3.</t>
  </si>
  <si>
    <t>Table 2.  Base Values</t>
  </si>
  <si>
    <t>Vars</t>
  </si>
  <si>
    <t>Figure 1.  Observed and Predicted Probabilities</t>
  </si>
  <si>
    <t>Discrete Change</t>
  </si>
  <si>
    <t>Table 1.  Poisson Regression</t>
  </si>
  <si>
    <t>Table 2.  Negative Binomial Regression</t>
  </si>
  <si>
    <t>phd</t>
  </si>
  <si>
    <t>ment</t>
  </si>
  <si>
    <t>kid5</t>
  </si>
  <si>
    <t>vc1th</t>
  </si>
  <si>
    <t>vc2th</t>
  </si>
  <si>
    <t>vc3th</t>
  </si>
  <si>
    <t>pbvc1</t>
  </si>
  <si>
    <t>pbvc2</t>
  </si>
  <si>
    <t>pbvc3</t>
  </si>
  <si>
    <t>Psbase</t>
  </si>
  <si>
    <t>Psmn</t>
  </si>
  <si>
    <t>Psmin</t>
  </si>
  <si>
    <t>Psmax</t>
  </si>
  <si>
    <t>bval1</t>
  </si>
  <si>
    <t>bval2</t>
  </si>
  <si>
    <t>bval3</t>
  </si>
  <si>
    <t>nbvc1</t>
  </si>
  <si>
    <t>nbvc2</t>
  </si>
  <si>
    <t>nbvc3</t>
  </si>
  <si>
    <t>Nsbase</t>
  </si>
  <si>
    <t>Nsmn</t>
  </si>
  <si>
    <t>Nsmin</t>
  </si>
  <si>
    <t>Nsmax</t>
  </si>
  <si>
    <t>Epb</t>
  </si>
  <si>
    <t>Epmn</t>
  </si>
  <si>
    <t>Epmin</t>
  </si>
  <si>
    <t>Epmax</t>
  </si>
  <si>
    <t>Sum</t>
  </si>
  <si>
    <t>Expps</t>
  </si>
  <si>
    <t>Inverse Alpha</t>
  </si>
  <si>
    <t>inva</t>
  </si>
  <si>
    <t>Gamma(inverse alpha)</t>
  </si>
  <si>
    <t>gamma</t>
  </si>
  <si>
    <t>Enbase</t>
  </si>
  <si>
    <t>Enmn</t>
  </si>
  <si>
    <t>Enmin</t>
  </si>
  <si>
    <t>Enmax</t>
  </si>
  <si>
    <t>Gya</t>
  </si>
  <si>
    <t>Expns</t>
  </si>
  <si>
    <t xml:space="preserve">    1.  How many points do you want to plot ?</t>
  </si>
  <si>
    <t xml:space="preserve"> ( 1 ) Observed Mean; ( 2 ) Estimated Mean; ( 3 ) An Experimental Mean:</t>
  </si>
  <si>
    <t xml:space="preserve">  -- please specify.</t>
  </si>
  <si>
    <t>Table 1.  Source of Data</t>
  </si>
  <si>
    <t>Probability</t>
  </si>
  <si>
    <t>Pts</t>
  </si>
  <si>
    <t>Neg Binomial</t>
  </si>
  <si>
    <t>Table 3.  Base Values</t>
  </si>
  <si>
    <t xml:space="preserve">           or any mean value that you specify (or want to experiment).  Select one of the mean values in the following three options:</t>
  </si>
  <si>
    <t xml:space="preserve">    2.  The predicted probabilities of Poisson and negative Binomial regressions can be calculated based on the observed mean, the estimate means,</t>
  </si>
  <si>
    <r>
      <t xml:space="preserve">    2.  Press  &lt;</t>
    </r>
    <r>
      <rPr>
        <b/>
        <i/>
        <sz val="10"/>
        <color indexed="8"/>
        <rFont val="Arial"/>
        <family val="2"/>
      </rPr>
      <t>Ctrl+Shift+p</t>
    </r>
    <r>
      <rPr>
        <sz val="10"/>
        <color indexed="8"/>
        <rFont val="Arial"/>
        <family val="2"/>
      </rPr>
      <t>&gt; to see the XPost pull-down menu (</t>
    </r>
    <r>
      <rPr>
        <i/>
        <sz val="10"/>
        <color indexed="8"/>
        <rFont val="Arial"/>
        <family val="2"/>
      </rPr>
      <t>Optional</t>
    </r>
    <r>
      <rPr>
        <sz val="10"/>
        <color indexed="8"/>
        <rFont val="Arial"/>
        <family val="2"/>
      </rPr>
      <t>).</t>
    </r>
  </si>
  <si>
    <t>Do not add or delete any rows or columns.</t>
  </si>
  <si>
    <t>Table 2.  Estimates, Descriptives, Variable Types, and Base Values</t>
  </si>
  <si>
    <t>Table 3.  Poisson Regression</t>
  </si>
  <si>
    <t>Table 4.  Negative Binomial Regression</t>
  </si>
  <si>
    <t>Table 5. Observed Prob.</t>
  </si>
  <si>
    <t xml:space="preserve">Enter all of your information in the light green cells, such as this: </t>
  </si>
  <si>
    <t>Predicted probabilities are given for base values shown in Table 2.  Note base values can only be changed in the Input sheet.</t>
  </si>
  <si>
    <t>In the green cells you can choose three variables and specify up to five values for that variable.  Predicted probabilities are</t>
  </si>
  <si>
    <t>computed at these values with other values equal to the base values in Table 2.</t>
  </si>
  <si>
    <t>Variables</t>
  </si>
  <si>
    <t xml:space="preserve"> Binomial</t>
  </si>
  <si>
    <t xml:space="preserve">  Negative</t>
  </si>
  <si>
    <t>.</t>
  </si>
  <si>
    <t xml:space="preserve">     1.</t>
  </si>
  <si>
    <t>This page computes factor change and discrete change using the base values specified on the Input sheet; these values</t>
  </si>
  <si>
    <t>are shown on Table 3 below, but can only be changed on the Input sheet.  There is nothing you can change on this page.</t>
  </si>
  <si>
    <t xml:space="preserve">     2.</t>
  </si>
  <si>
    <t>Predicted</t>
  </si>
  <si>
    <r>
      <t>Mean (</t>
    </r>
    <r>
      <rPr>
        <i/>
        <sz val="9"/>
        <rFont val="Symbol"/>
        <family val="1"/>
      </rPr>
      <t>u</t>
    </r>
    <r>
      <rPr>
        <i/>
        <sz val="9"/>
        <rFont val="Arial"/>
        <family val="2"/>
      </rPr>
      <t>)</t>
    </r>
  </si>
  <si>
    <t>Mean (u)</t>
  </si>
  <si>
    <t xml:space="preserve">    3.  For statistical interpretations of Poisson and Negative Binomial regression, see Long (1996: 217-50).</t>
  </si>
  <si>
    <t xml:space="preserve">    2.  Enter information about your graph. Note you can edit the graph as with any Excel chart.</t>
  </si>
  <si>
    <t>Enter the value of the highest count value to be considered:</t>
  </si>
  <si>
    <t>Observed Prob.</t>
  </si>
  <si>
    <t xml:space="preserve">Table 1.  Descriptive Statistics for Y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</si>
</sst>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0.0000"/>
    <numFmt numFmtId="173" formatCode="0.0"/>
    <numFmt numFmtId="174" formatCode="0.000"/>
    <numFmt numFmtId="175" formatCode="\(\ \ 0\ \ \)"/>
    <numFmt numFmtId="176" formatCode="\(\ \ \ \ 0\ \ \ \ \)"/>
    <numFmt numFmtId="177" formatCode=".000"/>
    <numFmt numFmtId="178" formatCode=".000\ \ \ "/>
  </numFmts>
  <fonts count="34">
    <font>
      <sz val="10"/>
      <name val="Arial"/>
      <family val="0"/>
    </font>
    <font>
      <sz val="8"/>
      <color indexed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7.5"/>
      <name val="Arial"/>
      <family val="0"/>
    </font>
    <font>
      <sz val="11.25"/>
      <name val="Arial"/>
      <family val="2"/>
    </font>
    <font>
      <i/>
      <sz val="9"/>
      <name val="Symbol"/>
      <family val="1"/>
    </font>
    <font>
      <b/>
      <i/>
      <sz val="14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i/>
      <u val="single"/>
      <sz val="10"/>
      <name val="Arial"/>
      <family val="2"/>
    </font>
    <font>
      <sz val="9"/>
      <color indexed="8"/>
      <name val="Arial"/>
      <family val="2"/>
    </font>
    <font>
      <b/>
      <i/>
      <sz val="14"/>
      <name val="Arial"/>
      <family val="2"/>
    </font>
    <font>
      <u val="single"/>
      <sz val="9"/>
      <name val="Arial"/>
      <family val="2"/>
    </font>
    <font>
      <sz val="9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74" fontId="8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174" fontId="8" fillId="0" borderId="1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applyProtection="1">
      <alignment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2" fontId="4" fillId="0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 horizontal="right"/>
      <protection locked="0"/>
    </xf>
    <xf numFmtId="174" fontId="4" fillId="3" borderId="0" xfId="0" applyNumberFormat="1" applyFont="1" applyFill="1" applyBorder="1" applyAlignment="1" applyProtection="1">
      <alignment/>
      <protection locked="0"/>
    </xf>
    <xf numFmtId="174" fontId="4" fillId="3" borderId="0" xfId="0" applyNumberFormat="1" applyFont="1" applyFill="1" applyAlignment="1" applyProtection="1">
      <alignment horizontal="right"/>
      <protection locked="0"/>
    </xf>
    <xf numFmtId="0" fontId="19" fillId="3" borderId="1" xfId="0" applyFont="1" applyFill="1" applyBorder="1" applyAlignment="1" applyProtection="1">
      <alignment horizontal="right"/>
      <protection locked="0"/>
    </xf>
    <xf numFmtId="174" fontId="4" fillId="3" borderId="1" xfId="0" applyNumberFormat="1" applyFont="1" applyFill="1" applyBorder="1" applyAlignment="1" applyProtection="1">
      <alignment/>
      <protection locked="0"/>
    </xf>
    <xf numFmtId="174" fontId="4" fillId="3" borderId="1" xfId="0" applyNumberFormat="1" applyFont="1" applyFill="1" applyBorder="1" applyAlignment="1" applyProtection="1">
      <alignment horizontal="right"/>
      <protection locked="0"/>
    </xf>
    <xf numFmtId="174" fontId="4" fillId="3" borderId="0" xfId="0" applyNumberFormat="1" applyFont="1" applyFill="1" applyAlignment="1" applyProtection="1">
      <alignment horizontal="right"/>
      <protection locked="0"/>
    </xf>
    <xf numFmtId="174" fontId="4" fillId="3" borderId="2" xfId="0" applyNumberFormat="1" applyFont="1" applyFill="1" applyBorder="1" applyAlignment="1" applyProtection="1">
      <alignment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3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23" fillId="0" borderId="1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8" fillId="0" borderId="3" xfId="0" applyFont="1" applyBorder="1" applyAlignment="1" applyProtection="1" quotePrefix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19" fillId="3" borderId="9" xfId="0" applyFont="1" applyFill="1" applyBorder="1" applyAlignment="1" applyProtection="1">
      <alignment horizontal="right"/>
      <protection locked="0"/>
    </xf>
    <xf numFmtId="2" fontId="4" fillId="3" borderId="9" xfId="0" applyNumberFormat="1" applyFont="1" applyFill="1" applyBorder="1" applyAlignment="1" applyProtection="1">
      <alignment horizontal="center"/>
      <protection locked="0"/>
    </xf>
    <xf numFmtId="2" fontId="4" fillId="3" borderId="9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74" fontId="21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174" fontId="0" fillId="0" borderId="0" xfId="0" applyNumberFormat="1" applyAlignment="1" applyProtection="1">
      <alignment/>
      <protection locked="0"/>
    </xf>
    <xf numFmtId="174" fontId="4" fillId="0" borderId="0" xfId="0" applyNumberFormat="1" applyFont="1" applyFill="1" applyBorder="1" applyAlignment="1" applyProtection="1">
      <alignment/>
      <protection locked="0"/>
    </xf>
    <xf numFmtId="174" fontId="8" fillId="0" borderId="0" xfId="0" applyNumberFormat="1" applyFont="1" applyBorder="1" applyAlignment="1" applyProtection="1">
      <alignment horizontal="center"/>
      <protection locked="0"/>
    </xf>
    <xf numFmtId="174" fontId="8" fillId="0" borderId="1" xfId="0" applyNumberFormat="1" applyFont="1" applyBorder="1" applyAlignment="1" applyProtection="1">
      <alignment horizontal="center"/>
      <protection locked="0"/>
    </xf>
    <xf numFmtId="174" fontId="4" fillId="0" borderId="1" xfId="0" applyNumberFormat="1" applyFont="1" applyFill="1" applyBorder="1" applyAlignment="1" applyProtection="1">
      <alignment/>
      <protection locked="0"/>
    </xf>
    <xf numFmtId="174" fontId="0" fillId="0" borderId="1" xfId="0" applyNumberFormat="1" applyBorder="1" applyAlignment="1" applyProtection="1">
      <alignment/>
      <protection locked="0"/>
    </xf>
    <xf numFmtId="0" fontId="16" fillId="0" borderId="0" xfId="0" applyFont="1" applyFill="1" applyBorder="1" applyAlignment="1" applyProtection="1" quotePrefix="1">
      <alignment horizontal="center"/>
      <protection locked="0"/>
    </xf>
    <xf numFmtId="0" fontId="16" fillId="0" borderId="0" xfId="0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 applyProtection="1" quotePrefix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172" fontId="8" fillId="0" borderId="0" xfId="0" applyNumberFormat="1" applyFont="1" applyAlignment="1" applyProtection="1">
      <alignment/>
      <protection locked="0"/>
    </xf>
    <xf numFmtId="172" fontId="8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right"/>
      <protection locked="0"/>
    </xf>
    <xf numFmtId="172" fontId="25" fillId="0" borderId="19" xfId="0" applyNumberFormat="1" applyFont="1" applyFill="1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172" fontId="8" fillId="0" borderId="20" xfId="0" applyNumberFormat="1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 horizontal="right"/>
      <protection locked="0"/>
    </xf>
    <xf numFmtId="172" fontId="25" fillId="0" borderId="21" xfId="0" applyNumberFormat="1" applyFont="1" applyFill="1" applyBorder="1" applyAlignment="1" applyProtection="1">
      <alignment horizontal="center"/>
      <protection locked="0"/>
    </xf>
    <xf numFmtId="172" fontId="8" fillId="0" borderId="8" xfId="0" applyNumberFormat="1" applyFont="1" applyBorder="1" applyAlignment="1" applyProtection="1">
      <alignment/>
      <protection locked="0"/>
    </xf>
    <xf numFmtId="172" fontId="8" fillId="0" borderId="22" xfId="0" applyNumberFormat="1" applyFont="1" applyBorder="1" applyAlignment="1" applyProtection="1">
      <alignment/>
      <protection locked="0"/>
    </xf>
    <xf numFmtId="172" fontId="8" fillId="0" borderId="6" xfId="0" applyNumberFormat="1" applyFont="1" applyBorder="1" applyAlignment="1" applyProtection="1">
      <alignment/>
      <protection locked="0"/>
    </xf>
    <xf numFmtId="172" fontId="8" fillId="0" borderId="23" xfId="0" applyNumberFormat="1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5" fillId="0" borderId="8" xfId="0" applyFont="1" applyBorder="1" applyAlignment="1" applyProtection="1">
      <alignment horizontal="left"/>
      <protection locked="0"/>
    </xf>
    <xf numFmtId="172" fontId="21" fillId="0" borderId="8" xfId="0" applyNumberFormat="1" applyFont="1" applyFill="1" applyBorder="1" applyAlignment="1" applyProtection="1">
      <alignment horizontal="center"/>
      <protection locked="0"/>
    </xf>
    <xf numFmtId="174" fontId="28" fillId="0" borderId="8" xfId="0" applyNumberFormat="1" applyFont="1" applyBorder="1" applyAlignment="1" applyProtection="1">
      <alignment/>
      <protection locked="0"/>
    </xf>
    <xf numFmtId="174" fontId="28" fillId="0" borderId="22" xfId="0" applyNumberFormat="1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 horizontal="right"/>
      <protection locked="0"/>
    </xf>
    <xf numFmtId="172" fontId="25" fillId="0" borderId="24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right"/>
      <protection locked="0"/>
    </xf>
    <xf numFmtId="172" fontId="25" fillId="0" borderId="25" xfId="0" applyNumberFormat="1" applyFont="1" applyFill="1" applyBorder="1" applyAlignment="1" applyProtection="1">
      <alignment horizontal="center"/>
      <protection locked="0"/>
    </xf>
    <xf numFmtId="172" fontId="8" fillId="0" borderId="26" xfId="0" applyNumberFormat="1" applyFont="1" applyBorder="1" applyAlignment="1" applyProtection="1">
      <alignment/>
      <protection locked="0"/>
    </xf>
    <xf numFmtId="172" fontId="8" fillId="0" borderId="1" xfId="0" applyNumberFormat="1" applyFont="1" applyBorder="1" applyAlignment="1" applyProtection="1">
      <alignment/>
      <protection locked="0"/>
    </xf>
    <xf numFmtId="172" fontId="8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17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72" fontId="8" fillId="0" borderId="29" xfId="0" applyNumberFormat="1" applyFont="1" applyBorder="1" applyAlignment="1" applyProtection="1">
      <alignment/>
      <protection locked="0"/>
    </xf>
    <xf numFmtId="172" fontId="8" fillId="0" borderId="18" xfId="0" applyNumberFormat="1" applyFont="1" applyBorder="1" applyAlignment="1" applyProtection="1">
      <alignment/>
      <protection locked="0"/>
    </xf>
    <xf numFmtId="172" fontId="8" fillId="0" borderId="30" xfId="0" applyNumberFormat="1" applyFont="1" applyBorder="1" applyAlignment="1" applyProtection="1">
      <alignment/>
      <protection locked="0"/>
    </xf>
    <xf numFmtId="172" fontId="8" fillId="0" borderId="31" xfId="0" applyNumberFormat="1" applyFont="1" applyBorder="1" applyAlignment="1" applyProtection="1">
      <alignment/>
      <protection locked="0"/>
    </xf>
    <xf numFmtId="172" fontId="8" fillId="0" borderId="32" xfId="0" applyNumberFormat="1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176" fontId="4" fillId="3" borderId="0" xfId="0" applyNumberFormat="1" applyFont="1" applyFill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 quotePrefix="1">
      <alignment horizontal="right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7" fontId="0" fillId="0" borderId="0" xfId="0" applyNumberFormat="1" applyAlignment="1" applyProtection="1">
      <alignment horizontal="right"/>
      <protection locked="0"/>
    </xf>
    <xf numFmtId="174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74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77" fontId="0" fillId="0" borderId="1" xfId="0" applyNumberFormat="1" applyBorder="1" applyAlignment="1" applyProtection="1">
      <alignment horizontal="right"/>
      <protection locked="0"/>
    </xf>
    <xf numFmtId="174" fontId="0" fillId="0" borderId="1" xfId="0" applyNumberFormat="1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72" fontId="25" fillId="0" borderId="18" xfId="0" applyNumberFormat="1" applyFont="1" applyFill="1" applyBorder="1" applyAlignment="1" applyProtection="1">
      <alignment horizontal="center"/>
      <protection locked="0"/>
    </xf>
    <xf numFmtId="172" fontId="25" fillId="0" borderId="0" xfId="0" applyNumberFormat="1" applyFont="1" applyFill="1" applyBorder="1" applyAlignment="1" applyProtection="1">
      <alignment horizontal="center"/>
      <protection locked="0"/>
    </xf>
    <xf numFmtId="172" fontId="25" fillId="0" borderId="6" xfId="0" applyNumberFormat="1" applyFont="1" applyFill="1" applyBorder="1" applyAlignment="1" applyProtection="1">
      <alignment horizontal="center"/>
      <protection locked="0"/>
    </xf>
    <xf numFmtId="172" fontId="25" fillId="0" borderId="8" xfId="0" applyNumberFormat="1" applyFont="1" applyFill="1" applyBorder="1" applyAlignment="1" applyProtection="1">
      <alignment horizontal="center"/>
      <protection locked="0"/>
    </xf>
    <xf numFmtId="172" fontId="25" fillId="0" borderId="1" xfId="0" applyNumberFormat="1" applyFont="1" applyFill="1" applyBorder="1" applyAlignment="1" applyProtection="1">
      <alignment horizontal="center"/>
      <protection locked="0"/>
    </xf>
    <xf numFmtId="172" fontId="25" fillId="0" borderId="35" xfId="0" applyNumberFormat="1" applyFont="1" applyFill="1" applyBorder="1" applyAlignment="1" applyProtection="1">
      <alignment horizontal="center"/>
      <protection locked="0"/>
    </xf>
    <xf numFmtId="172" fontId="25" fillId="0" borderId="34" xfId="0" applyNumberFormat="1" applyFont="1" applyFill="1" applyBorder="1" applyAlignment="1" applyProtection="1">
      <alignment horizontal="center"/>
      <protection locked="0"/>
    </xf>
    <xf numFmtId="172" fontId="25" fillId="0" borderId="36" xfId="0" applyNumberFormat="1" applyFont="1" applyFill="1" applyBorder="1" applyAlignment="1" applyProtection="1">
      <alignment horizontal="center"/>
      <protection locked="0"/>
    </xf>
    <xf numFmtId="172" fontId="25" fillId="0" borderId="37" xfId="0" applyNumberFormat="1" applyFont="1" applyFill="1" applyBorder="1" applyAlignment="1" applyProtection="1">
      <alignment horizontal="center"/>
      <protection locked="0"/>
    </xf>
    <xf numFmtId="172" fontId="25" fillId="0" borderId="38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8" fillId="0" borderId="39" xfId="0" applyNumberFormat="1" applyFont="1" applyFill="1" applyBorder="1" applyAlignment="1" applyProtection="1">
      <alignment horizontal="center"/>
      <protection locked="0"/>
    </xf>
    <xf numFmtId="2" fontId="8" fillId="0" borderId="19" xfId="0" applyNumberFormat="1" applyFont="1" applyFill="1" applyBorder="1" applyAlignment="1" applyProtection="1">
      <alignment horizontal="center"/>
      <protection locked="0"/>
    </xf>
    <xf numFmtId="2" fontId="8" fillId="0" borderId="25" xfId="0" applyNumberFormat="1" applyFont="1" applyFill="1" applyBorder="1" applyAlignment="1" applyProtection="1">
      <alignment horizontal="center"/>
      <protection locked="0"/>
    </xf>
    <xf numFmtId="2" fontId="8" fillId="0" borderId="24" xfId="0" applyNumberFormat="1" applyFont="1" applyFill="1" applyBorder="1" applyAlignment="1" applyProtection="1">
      <alignment horizontal="center"/>
      <protection locked="0"/>
    </xf>
    <xf numFmtId="2" fontId="8" fillId="0" borderId="21" xfId="0" applyNumberFormat="1" applyFont="1" applyFill="1" applyBorder="1" applyAlignment="1" applyProtection="1">
      <alignment horizontal="center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2" fontId="8" fillId="0" borderId="34" xfId="0" applyNumberFormat="1" applyFont="1" applyBorder="1" applyAlignment="1" applyProtection="1">
      <alignment horizontal="center"/>
      <protection locked="0"/>
    </xf>
    <xf numFmtId="2" fontId="8" fillId="0" borderId="21" xfId="0" applyNumberFormat="1" applyFont="1" applyBorder="1" applyAlignment="1" applyProtection="1">
      <alignment horizontal="center"/>
      <protection locked="0"/>
    </xf>
    <xf numFmtId="2" fontId="8" fillId="0" borderId="24" xfId="0" applyNumberFormat="1" applyFont="1" applyBorder="1" applyAlignment="1" applyProtection="1">
      <alignment horizontal="center"/>
      <protection locked="0"/>
    </xf>
    <xf numFmtId="2" fontId="8" fillId="0" borderId="25" xfId="0" applyNumberFormat="1" applyFont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Alignment="1" applyProtection="1" quotePrefix="1">
      <alignment/>
      <protection locked="0"/>
    </xf>
    <xf numFmtId="176" fontId="4" fillId="3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4" fontId="0" fillId="0" borderId="0" xfId="0" applyNumberFormat="1" applyBorder="1" applyAlignment="1" applyProtection="1">
      <alignment horizontal="center"/>
      <protection locked="0"/>
    </xf>
    <xf numFmtId="174" fontId="21" fillId="0" borderId="0" xfId="0" applyNumberFormat="1" applyFont="1" applyAlignment="1" applyProtection="1">
      <alignment/>
      <protection locked="0"/>
    </xf>
    <xf numFmtId="17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40" xfId="0" applyFont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7" fillId="0" borderId="40" xfId="0" applyFont="1" applyFill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74" fontId="0" fillId="0" borderId="0" xfId="0" applyNumberFormat="1" applyAlignment="1" applyProtection="1" quotePrefix="1">
      <alignment horizontal="right"/>
      <protection/>
    </xf>
    <xf numFmtId="174" fontId="0" fillId="0" borderId="0" xfId="0" applyNumberFormat="1" applyFont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/>
      <protection/>
    </xf>
    <xf numFmtId="174" fontId="8" fillId="0" borderId="0" xfId="0" applyNumberFormat="1" applyFont="1" applyAlignment="1" applyProtection="1">
      <alignment horizontal="center"/>
      <protection/>
    </xf>
    <xf numFmtId="174" fontId="8" fillId="0" borderId="0" xfId="0" applyNumberFormat="1" applyFont="1" applyBorder="1" applyAlignment="1" applyProtection="1">
      <alignment horizontal="center"/>
      <protection/>
    </xf>
    <xf numFmtId="174" fontId="8" fillId="0" borderId="1" xfId="0" applyNumberFormat="1" applyFont="1" applyBorder="1" applyAlignment="1" applyProtection="1">
      <alignment horizontal="center"/>
      <protection/>
    </xf>
    <xf numFmtId="174" fontId="21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/>
    </xf>
    <xf numFmtId="174" fontId="8" fillId="0" borderId="18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174" fontId="0" fillId="0" borderId="0" xfId="0" applyNumberFormat="1" applyBorder="1" applyAlignment="1" applyProtection="1" quotePrefix="1">
      <alignment horizontal="center"/>
      <protection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0" fillId="0" borderId="43" xfId="0" applyBorder="1" applyAlignment="1" applyProtection="1" quotePrefix="1">
      <alignment horizontal="center" vertical="center"/>
      <protection locked="0"/>
    </xf>
    <xf numFmtId="0" fontId="0" fillId="0" borderId="44" xfId="0" applyBorder="1" applyAlignment="1" applyProtection="1" quotePrefix="1">
      <alignment horizontal="right"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172" fontId="25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63"/>
          <c:w val="0.791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Plotter!$M$14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Plotter!$L$16:$L$26</c:f>
              <c:numCache/>
            </c:numRef>
          </c:cat>
          <c:val>
            <c:numRef>
              <c:f>Plotter!$M$16:$M$26</c:f>
              <c:numCache/>
            </c:numRef>
          </c:val>
          <c:smooth val="0"/>
        </c:ser>
        <c:ser>
          <c:idx val="0"/>
          <c:order val="1"/>
          <c:tx>
            <c:strRef>
              <c:f>Plotter!$N$14</c:f>
              <c:strCache>
                <c:ptCount val="1"/>
                <c:pt idx="0">
                  <c:v>Poisson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Plotter!$L$16:$L$26</c:f>
              <c:numCache/>
            </c:numRef>
          </c:cat>
          <c:val>
            <c:numRef>
              <c:f>Plotter!$N$16:$N$26</c:f>
              <c:numCache/>
            </c:numRef>
          </c:val>
          <c:smooth val="0"/>
        </c:ser>
        <c:ser>
          <c:idx val="2"/>
          <c:order val="2"/>
          <c:tx>
            <c:strRef>
              <c:f>Plotter!$O$14</c:f>
              <c:strCache>
                <c:ptCount val="1"/>
                <c:pt idx="0">
                  <c:v>Neg Binomial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Plotter!$L$16:$L$26</c:f>
              <c:numCache/>
            </c:numRef>
          </c:cat>
          <c:val>
            <c:numRef>
              <c:f>Plotter!$O$16:$O$26</c:f>
              <c:numCache/>
            </c:numRef>
          </c:val>
          <c:smooth val="0"/>
        </c:ser>
        <c:marker val="1"/>
        <c:axId val="20075743"/>
        <c:axId val="46463960"/>
      </c:lineChart>
      <c:catAx>
        <c:axId val="2007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Number of Counts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075743"/>
        <c:crossesAt val="1"/>
        <c:crossBetween val="between"/>
        <c:dispUnits/>
        <c:majorUnit val="0.1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05"/>
          <c:y val="0.00775"/>
          <c:w val="0.796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9525</xdr:rowOff>
    </xdr:from>
    <xdr:to>
      <xdr:col>9</xdr:col>
      <xdr:colOff>533400</xdr:colOff>
      <xdr:row>34</xdr:row>
      <xdr:rowOff>76200</xdr:rowOff>
    </xdr:to>
    <xdr:graphicFrame>
      <xdr:nvGraphicFramePr>
        <xdr:cNvPr id="1" name="Chart 5"/>
        <xdr:cNvGraphicFramePr/>
      </xdr:nvGraphicFramePr>
      <xdr:xfrm>
        <a:off x="190500" y="2724150"/>
        <a:ext cx="5391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9"/>
  <sheetViews>
    <sheetView showGridLines="0"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.57421875" style="11" customWidth="1"/>
    <col min="2" max="16" width="9.140625" style="11" customWidth="1"/>
    <col min="17" max="17" width="2.00390625" style="11" customWidth="1"/>
    <col min="18" max="18" width="11.00390625" style="11" customWidth="1"/>
    <col min="19" max="19" width="9.140625" style="11" customWidth="1"/>
    <col min="20" max="20" width="14.421875" style="11" customWidth="1"/>
    <col min="21" max="16384" width="9.140625" style="11" customWidth="1"/>
  </cols>
  <sheetData>
    <row r="1" spans="1:14" ht="21.75" customHeight="1">
      <c r="A1" s="220"/>
      <c r="B1" s="221" t="s">
        <v>45</v>
      </c>
      <c r="C1" s="222"/>
      <c r="D1" s="222"/>
      <c r="E1" s="223"/>
      <c r="F1" s="222"/>
      <c r="G1" s="222"/>
      <c r="H1" s="222"/>
      <c r="I1" s="224" t="s">
        <v>116</v>
      </c>
      <c r="J1" s="222"/>
      <c r="K1" s="222"/>
      <c r="L1" s="222"/>
      <c r="M1" s="223"/>
      <c r="N1" s="13"/>
    </row>
    <row r="2" spans="1:14" ht="18" customHeight="1">
      <c r="A2" s="220"/>
      <c r="B2" s="225" t="s">
        <v>16</v>
      </c>
      <c r="C2" s="226"/>
      <c r="D2" s="226"/>
      <c r="E2" s="226"/>
      <c r="F2" s="226"/>
      <c r="G2" s="226"/>
      <c r="H2" s="222"/>
      <c r="I2" s="227"/>
      <c r="J2" s="226"/>
      <c r="K2" s="222"/>
      <c r="L2" s="222"/>
      <c r="M2" s="223"/>
      <c r="N2" s="13"/>
    </row>
    <row r="3" spans="1:14" ht="15" customHeight="1">
      <c r="A3" s="220"/>
      <c r="B3" s="228" t="s">
        <v>41</v>
      </c>
      <c r="C3" s="229"/>
      <c r="D3" s="230"/>
      <c r="E3" s="231"/>
      <c r="F3" s="229"/>
      <c r="G3" s="229"/>
      <c r="H3" s="232"/>
      <c r="I3" s="233"/>
      <c r="J3" s="222"/>
      <c r="K3" s="222"/>
      <c r="L3" s="222"/>
      <c r="M3" s="223"/>
      <c r="N3" s="13"/>
    </row>
    <row r="4" spans="1:13" ht="15" customHeight="1">
      <c r="A4" s="220"/>
      <c r="B4" s="234" t="s">
        <v>115</v>
      </c>
      <c r="C4" s="229"/>
      <c r="D4" s="230"/>
      <c r="E4" s="231"/>
      <c r="F4" s="229"/>
      <c r="G4" s="229"/>
      <c r="H4" s="232"/>
      <c r="I4" s="232"/>
      <c r="J4" s="232"/>
      <c r="K4" s="222"/>
      <c r="L4" s="222"/>
      <c r="M4" s="223"/>
    </row>
    <row r="5" spans="1:13" ht="15" customHeight="1">
      <c r="A5" s="220"/>
      <c r="B5" s="235" t="s">
        <v>136</v>
      </c>
      <c r="C5" s="229"/>
      <c r="D5" s="230"/>
      <c r="E5" s="231"/>
      <c r="F5" s="229"/>
      <c r="G5" s="229"/>
      <c r="H5" s="232"/>
      <c r="I5" s="232"/>
      <c r="J5" s="232"/>
      <c r="K5" s="222"/>
      <c r="L5" s="222"/>
      <c r="M5" s="223"/>
    </row>
    <row r="6" spans="1:21" ht="15" customHeight="1">
      <c r="A6" s="23"/>
      <c r="B6" s="56"/>
      <c r="C6" s="57"/>
      <c r="D6" s="58"/>
      <c r="E6" s="59"/>
      <c r="F6" s="57"/>
      <c r="G6" s="57"/>
      <c r="H6" s="60"/>
      <c r="I6" s="60"/>
      <c r="J6" s="60"/>
      <c r="K6" s="23"/>
      <c r="L6" s="23"/>
      <c r="M6" s="61"/>
      <c r="N6" s="23"/>
      <c r="O6" s="62"/>
      <c r="P6" s="23"/>
      <c r="Q6" s="23"/>
      <c r="R6" s="23"/>
      <c r="S6" s="23"/>
      <c r="T6" s="23"/>
      <c r="U6" s="23"/>
    </row>
    <row r="7" spans="2:15" ht="24" customHeight="1" thickBot="1">
      <c r="B7" s="236" t="s">
        <v>140</v>
      </c>
      <c r="C7" s="237"/>
      <c r="D7" s="238"/>
      <c r="E7" s="239"/>
      <c r="F7" s="237"/>
      <c r="G7" s="1"/>
      <c r="H7" s="18"/>
      <c r="I7" s="18"/>
      <c r="J7" s="18"/>
      <c r="K7" s="13"/>
      <c r="L7" s="13"/>
      <c r="M7" s="14"/>
      <c r="O7" s="21"/>
    </row>
    <row r="8" spans="2:15" ht="15" customHeight="1" thickTop="1">
      <c r="B8" s="223" t="s">
        <v>43</v>
      </c>
      <c r="C8" s="223" t="s">
        <v>1</v>
      </c>
      <c r="D8" s="223" t="s">
        <v>44</v>
      </c>
      <c r="E8" s="223" t="s">
        <v>2</v>
      </c>
      <c r="F8" s="240" t="s">
        <v>3</v>
      </c>
      <c r="G8" s="1"/>
      <c r="M8" s="14"/>
      <c r="O8" s="20"/>
    </row>
    <row r="9" spans="2:13" ht="15" customHeight="1">
      <c r="B9" s="63" t="s">
        <v>6</v>
      </c>
      <c r="C9" s="64">
        <v>1.69</v>
      </c>
      <c r="D9" s="65">
        <v>1.926069</v>
      </c>
      <c r="E9" s="64">
        <v>0</v>
      </c>
      <c r="F9" s="64">
        <v>19</v>
      </c>
      <c r="M9" s="14"/>
    </row>
    <row r="10" spans="2:13" ht="15" customHeight="1" hidden="1">
      <c r="B10" s="22"/>
      <c r="C10" s="1"/>
      <c r="M10" s="14"/>
    </row>
    <row r="11" spans="1:23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2:21" ht="24" customHeight="1" thickBot="1">
      <c r="B12" s="241" t="s">
        <v>117</v>
      </c>
      <c r="C12" s="242"/>
      <c r="D12" s="242"/>
      <c r="E12" s="242"/>
      <c r="F12" s="242"/>
      <c r="G12" s="242"/>
      <c r="H12" s="242"/>
      <c r="I12" s="13"/>
      <c r="J12" s="241" t="s">
        <v>118</v>
      </c>
      <c r="K12" s="242"/>
      <c r="L12" s="242"/>
      <c r="N12" s="241" t="s">
        <v>119</v>
      </c>
      <c r="O12" s="242"/>
      <c r="P12" s="242"/>
      <c r="Q12" s="242"/>
      <c r="R12" s="242"/>
      <c r="T12" s="241" t="s">
        <v>120</v>
      </c>
      <c r="U12" s="242"/>
    </row>
    <row r="13" spans="2:21" ht="15" customHeight="1" thickTop="1">
      <c r="B13" s="243"/>
      <c r="C13" s="244"/>
      <c r="D13" s="244" t="s">
        <v>44</v>
      </c>
      <c r="E13" s="244"/>
      <c r="F13" s="244"/>
      <c r="G13" s="245" t="s">
        <v>12</v>
      </c>
      <c r="H13" s="245" t="s">
        <v>13</v>
      </c>
      <c r="I13" s="69"/>
      <c r="J13" s="220"/>
      <c r="K13" s="244" t="s">
        <v>36</v>
      </c>
      <c r="L13" s="250"/>
      <c r="N13" s="220"/>
      <c r="O13" s="244" t="s">
        <v>39</v>
      </c>
      <c r="P13" s="250"/>
      <c r="Q13" s="250"/>
      <c r="R13" s="220"/>
      <c r="T13" s="257" t="s">
        <v>25</v>
      </c>
      <c r="U13" s="222"/>
    </row>
    <row r="14" spans="2:21" ht="15" customHeight="1">
      <c r="B14" s="246" t="s">
        <v>12</v>
      </c>
      <c r="C14" s="246" t="s">
        <v>1</v>
      </c>
      <c r="D14" s="246" t="s">
        <v>46</v>
      </c>
      <c r="E14" s="246" t="s">
        <v>2</v>
      </c>
      <c r="F14" s="246" t="s">
        <v>3</v>
      </c>
      <c r="G14" s="246" t="s">
        <v>14</v>
      </c>
      <c r="H14" s="246" t="s">
        <v>15</v>
      </c>
      <c r="I14" s="70"/>
      <c r="J14" s="246" t="s">
        <v>12</v>
      </c>
      <c r="K14" s="246" t="s">
        <v>47</v>
      </c>
      <c r="L14" s="246" t="s">
        <v>48</v>
      </c>
      <c r="N14" s="246" t="s">
        <v>12</v>
      </c>
      <c r="O14" s="246" t="s">
        <v>47</v>
      </c>
      <c r="P14" s="246" t="s">
        <v>48</v>
      </c>
      <c r="Q14" s="246"/>
      <c r="R14" s="255" t="s">
        <v>38</v>
      </c>
      <c r="T14" s="258" t="s">
        <v>40</v>
      </c>
      <c r="U14" s="259"/>
    </row>
    <row r="15" spans="2:21" ht="15" customHeight="1">
      <c r="B15" s="247" t="s">
        <v>4</v>
      </c>
      <c r="C15" s="248" t="s">
        <v>4</v>
      </c>
      <c r="D15" s="248" t="s">
        <v>4</v>
      </c>
      <c r="E15" s="248" t="s">
        <v>4</v>
      </c>
      <c r="F15" s="248" t="s">
        <v>4</v>
      </c>
      <c r="G15" s="249" t="s">
        <v>4</v>
      </c>
      <c r="H15" s="249" t="s">
        <v>4</v>
      </c>
      <c r="I15" s="71"/>
      <c r="J15" s="251" t="s">
        <v>5</v>
      </c>
      <c r="K15" s="30">
        <v>0.3046168</v>
      </c>
      <c r="L15" s="30">
        <v>2.958</v>
      </c>
      <c r="M15" s="73"/>
      <c r="N15" s="256" t="s">
        <v>5</v>
      </c>
      <c r="O15" s="25">
        <v>0.256144</v>
      </c>
      <c r="P15" s="25">
        <v>1.849</v>
      </c>
      <c r="Q15" s="74"/>
      <c r="R15" s="31">
        <v>0.4416205</v>
      </c>
      <c r="S15" s="73"/>
      <c r="T15" s="260" t="s">
        <v>4</v>
      </c>
      <c r="U15" s="248" t="s">
        <v>4</v>
      </c>
    </row>
    <row r="16" spans="2:21" ht="15" customHeight="1">
      <c r="B16" s="24" t="s">
        <v>7</v>
      </c>
      <c r="C16" s="25">
        <v>0.4601093</v>
      </c>
      <c r="D16" s="25">
        <v>0.4986788</v>
      </c>
      <c r="E16" s="25">
        <v>0</v>
      </c>
      <c r="F16" s="25">
        <v>1</v>
      </c>
      <c r="G16" s="26" t="s">
        <v>0</v>
      </c>
      <c r="H16" s="26" t="s">
        <v>26</v>
      </c>
      <c r="I16" s="254">
        <f>IF(H16="","",IF(H16="M",Mn,IF(H16="Min",MIN,IF(H16="Max",MAX,H16))))</f>
        <v>0.4601093</v>
      </c>
      <c r="J16" s="252" t="str">
        <f>IF(RHV="","---",RHV)</f>
        <v>FEM</v>
      </c>
      <c r="K16" s="25">
        <v>-0.2245942</v>
      </c>
      <c r="L16" s="25">
        <v>-4.112</v>
      </c>
      <c r="M16" s="73"/>
      <c r="N16" s="252" t="str">
        <f>IF(RHV="","---",RHV)</f>
        <v>FEM</v>
      </c>
      <c r="O16" s="25">
        <v>-0.2164184</v>
      </c>
      <c r="P16" s="25">
        <v>-2.978</v>
      </c>
      <c r="Q16" s="74"/>
      <c r="R16" s="73"/>
      <c r="S16" s="73"/>
      <c r="T16" s="32">
        <v>0</v>
      </c>
      <c r="U16" s="25">
        <v>0.3005</v>
      </c>
    </row>
    <row r="17" spans="2:21" ht="15" customHeight="1">
      <c r="B17" s="24" t="s">
        <v>8</v>
      </c>
      <c r="C17" s="25">
        <v>0.6622951</v>
      </c>
      <c r="D17" s="25">
        <v>0.473186</v>
      </c>
      <c r="E17" s="25">
        <v>0</v>
      </c>
      <c r="F17" s="25">
        <v>1</v>
      </c>
      <c r="G17" s="26" t="s">
        <v>0</v>
      </c>
      <c r="H17" s="26" t="s">
        <v>26</v>
      </c>
      <c r="I17" s="254">
        <f aca="true" t="shared" si="0" ref="I17:I65">IF(H17="","",IF(H17="M",Mn,IF(H17="Min",MIN,IF(H17="Max",MAX,H17))))</f>
        <v>0.6622951</v>
      </c>
      <c r="J17" s="252" t="str">
        <f aca="true" t="shared" si="1" ref="J17:J65">IF(RHV="","---",RHV)</f>
        <v>MAR</v>
      </c>
      <c r="K17" s="25">
        <v>0.1552434</v>
      </c>
      <c r="L17" s="25">
        <v>2.529</v>
      </c>
      <c r="M17" s="73"/>
      <c r="N17" s="252" t="str">
        <f aca="true" t="shared" si="2" ref="N17:N65">IF(RHV="","---",RHV)</f>
        <v>MAR</v>
      </c>
      <c r="O17" s="25">
        <v>0.1504895</v>
      </c>
      <c r="P17" s="25">
        <v>1.833</v>
      </c>
      <c r="Q17" s="74"/>
      <c r="R17" s="73"/>
      <c r="S17" s="73"/>
      <c r="T17" s="32">
        <v>1</v>
      </c>
      <c r="U17" s="25">
        <v>0.26890000000000003</v>
      </c>
    </row>
    <row r="18" spans="2:21" ht="15" customHeight="1">
      <c r="B18" s="24" t="s">
        <v>9</v>
      </c>
      <c r="C18" s="25">
        <v>0.495082</v>
      </c>
      <c r="D18" s="25">
        <v>0.76488</v>
      </c>
      <c r="E18" s="25">
        <v>0</v>
      </c>
      <c r="F18" s="25">
        <v>3</v>
      </c>
      <c r="G18" s="26" t="s">
        <v>17</v>
      </c>
      <c r="H18" s="26" t="s">
        <v>26</v>
      </c>
      <c r="I18" s="254">
        <f t="shared" si="0"/>
        <v>0.495082</v>
      </c>
      <c r="J18" s="252" t="str">
        <f t="shared" si="1"/>
        <v>KID5</v>
      </c>
      <c r="K18" s="25">
        <v>-0.1848827</v>
      </c>
      <c r="L18" s="25">
        <v>-4.607</v>
      </c>
      <c r="M18" s="73"/>
      <c r="N18" s="252" t="str">
        <f t="shared" si="2"/>
        <v>KID5</v>
      </c>
      <c r="O18" s="25">
        <v>-0.1764152</v>
      </c>
      <c r="P18" s="25">
        <v>-3.325</v>
      </c>
      <c r="Q18" s="74"/>
      <c r="R18" s="73"/>
      <c r="S18" s="73"/>
      <c r="T18" s="32">
        <v>2</v>
      </c>
      <c r="U18" s="25">
        <v>0.1945</v>
      </c>
    </row>
    <row r="19" spans="2:21" ht="15" customHeight="1">
      <c r="B19" s="24" t="s">
        <v>10</v>
      </c>
      <c r="C19" s="25">
        <v>3.103109</v>
      </c>
      <c r="D19" s="25">
        <v>0.9842491</v>
      </c>
      <c r="E19" s="25">
        <v>0.755</v>
      </c>
      <c r="F19" s="25">
        <v>4.62</v>
      </c>
      <c r="G19" s="26" t="s">
        <v>17</v>
      </c>
      <c r="H19" s="26" t="s">
        <v>26</v>
      </c>
      <c r="I19" s="254">
        <f t="shared" si="0"/>
        <v>3.103109</v>
      </c>
      <c r="J19" s="252" t="str">
        <f t="shared" si="1"/>
        <v>PHD</v>
      </c>
      <c r="K19" s="25">
        <v>0.0128226</v>
      </c>
      <c r="L19" s="25">
        <v>0.486</v>
      </c>
      <c r="M19" s="73"/>
      <c r="N19" s="252" t="str">
        <f t="shared" si="2"/>
        <v>PHD</v>
      </c>
      <c r="O19" s="25">
        <v>0.0152712</v>
      </c>
      <c r="P19" s="25">
        <v>0.424</v>
      </c>
      <c r="Q19" s="74"/>
      <c r="R19" s="73"/>
      <c r="S19" s="73"/>
      <c r="T19" s="32">
        <v>3</v>
      </c>
      <c r="U19" s="25">
        <v>0.09179999999999999</v>
      </c>
    </row>
    <row r="20" spans="2:21" ht="15" customHeight="1">
      <c r="B20" s="24" t="s">
        <v>11</v>
      </c>
      <c r="C20" s="25">
        <v>8.767212</v>
      </c>
      <c r="D20" s="25">
        <v>9.483915</v>
      </c>
      <c r="E20" s="25">
        <v>0</v>
      </c>
      <c r="F20" s="25">
        <v>76.99998</v>
      </c>
      <c r="G20" s="26" t="s">
        <v>17</v>
      </c>
      <c r="H20" s="26" t="s">
        <v>26</v>
      </c>
      <c r="I20" s="254">
        <f t="shared" si="0"/>
        <v>8.767212</v>
      </c>
      <c r="J20" s="252" t="str">
        <f t="shared" si="1"/>
        <v>MENT</v>
      </c>
      <c r="K20" s="25">
        <v>0.0255427</v>
      </c>
      <c r="L20" s="25">
        <v>12.733</v>
      </c>
      <c r="M20" s="73"/>
      <c r="N20" s="252" t="str">
        <f t="shared" si="2"/>
        <v>MENT</v>
      </c>
      <c r="O20" s="25">
        <v>0.0290823</v>
      </c>
      <c r="P20" s="25">
        <v>8.381</v>
      </c>
      <c r="Q20" s="74"/>
      <c r="R20" s="73"/>
      <c r="S20" s="73"/>
      <c r="T20" s="32">
        <v>4</v>
      </c>
      <c r="U20" s="25">
        <v>0.0732</v>
      </c>
    </row>
    <row r="21" spans="2:21" ht="15" customHeight="1">
      <c r="B21" s="24"/>
      <c r="C21" s="25"/>
      <c r="D21" s="25"/>
      <c r="E21" s="25"/>
      <c r="F21" s="25"/>
      <c r="G21" s="26"/>
      <c r="H21" s="26"/>
      <c r="I21" s="254">
        <f t="shared" si="0"/>
      </c>
      <c r="J21" s="252" t="str">
        <f t="shared" si="1"/>
        <v>---</v>
      </c>
      <c r="K21" s="25"/>
      <c r="L21" s="25"/>
      <c r="M21" s="73"/>
      <c r="N21" s="252" t="str">
        <f t="shared" si="2"/>
        <v>---</v>
      </c>
      <c r="O21" s="25"/>
      <c r="P21" s="25"/>
      <c r="Q21" s="74"/>
      <c r="R21" s="73"/>
      <c r="S21" s="73"/>
      <c r="T21" s="32">
        <v>5</v>
      </c>
      <c r="U21" s="25">
        <v>0.029500000000000002</v>
      </c>
    </row>
    <row r="22" spans="2:21" ht="15" customHeight="1">
      <c r="B22" s="24"/>
      <c r="C22" s="25"/>
      <c r="D22" s="25"/>
      <c r="E22" s="25"/>
      <c r="F22" s="25"/>
      <c r="G22" s="26"/>
      <c r="H22" s="26"/>
      <c r="I22" s="254">
        <f t="shared" si="0"/>
      </c>
      <c r="J22" s="252" t="str">
        <f t="shared" si="1"/>
        <v>---</v>
      </c>
      <c r="K22" s="25"/>
      <c r="L22" s="25"/>
      <c r="M22" s="73"/>
      <c r="N22" s="252" t="str">
        <f t="shared" si="2"/>
        <v>---</v>
      </c>
      <c r="O22" s="25"/>
      <c r="P22" s="25"/>
      <c r="Q22" s="74"/>
      <c r="R22" s="73"/>
      <c r="S22" s="73"/>
      <c r="T22" s="32">
        <v>6</v>
      </c>
      <c r="U22" s="25">
        <v>0.018600000000000002</v>
      </c>
    </row>
    <row r="23" spans="2:21" ht="15" customHeight="1">
      <c r="B23" s="24"/>
      <c r="C23" s="25"/>
      <c r="D23" s="25"/>
      <c r="E23" s="25"/>
      <c r="F23" s="25"/>
      <c r="G23" s="26"/>
      <c r="H23" s="26"/>
      <c r="I23" s="254">
        <f t="shared" si="0"/>
      </c>
      <c r="J23" s="252" t="str">
        <f t="shared" si="1"/>
        <v>---</v>
      </c>
      <c r="K23" s="25"/>
      <c r="L23" s="25"/>
      <c r="M23" s="73"/>
      <c r="N23" s="252" t="str">
        <f t="shared" si="2"/>
        <v>---</v>
      </c>
      <c r="O23" s="25"/>
      <c r="P23" s="25"/>
      <c r="Q23" s="74"/>
      <c r="R23" s="73"/>
      <c r="S23" s="73"/>
      <c r="T23" s="32">
        <v>7</v>
      </c>
      <c r="U23" s="25">
        <v>0.0131</v>
      </c>
    </row>
    <row r="24" spans="2:21" ht="15" customHeight="1">
      <c r="B24" s="24"/>
      <c r="C24" s="25"/>
      <c r="D24" s="25"/>
      <c r="E24" s="25"/>
      <c r="F24" s="25"/>
      <c r="G24" s="26"/>
      <c r="H24" s="26"/>
      <c r="I24" s="254">
        <f t="shared" si="0"/>
      </c>
      <c r="J24" s="252" t="str">
        <f t="shared" si="1"/>
        <v>---</v>
      </c>
      <c r="K24" s="25"/>
      <c r="L24" s="25"/>
      <c r="M24" s="73"/>
      <c r="N24" s="252" t="str">
        <f t="shared" si="2"/>
        <v>---</v>
      </c>
      <c r="O24" s="25"/>
      <c r="P24" s="25"/>
      <c r="Q24" s="74"/>
      <c r="R24" s="73"/>
      <c r="S24" s="73"/>
      <c r="T24" s="32">
        <v>8</v>
      </c>
      <c r="U24" s="25">
        <v>0.0011</v>
      </c>
    </row>
    <row r="25" spans="2:21" ht="15" customHeight="1">
      <c r="B25" s="24"/>
      <c r="C25" s="25"/>
      <c r="D25" s="25"/>
      <c r="E25" s="25"/>
      <c r="F25" s="25"/>
      <c r="G25" s="26"/>
      <c r="H25" s="26"/>
      <c r="I25" s="254">
        <f t="shared" si="0"/>
      </c>
      <c r="J25" s="252" t="str">
        <f t="shared" si="1"/>
        <v>---</v>
      </c>
      <c r="K25" s="25"/>
      <c r="L25" s="25"/>
      <c r="M25" s="73"/>
      <c r="N25" s="252" t="str">
        <f t="shared" si="2"/>
        <v>---</v>
      </c>
      <c r="O25" s="25"/>
      <c r="P25" s="25"/>
      <c r="Q25" s="74"/>
      <c r="R25" s="73"/>
      <c r="S25" s="73"/>
      <c r="T25" s="32">
        <v>9</v>
      </c>
      <c r="U25" s="25">
        <v>0.0022</v>
      </c>
    </row>
    <row r="26" spans="2:21" ht="15" customHeight="1">
      <c r="B26" s="24"/>
      <c r="C26" s="25"/>
      <c r="D26" s="25"/>
      <c r="E26" s="25"/>
      <c r="F26" s="25"/>
      <c r="G26" s="26"/>
      <c r="H26" s="26"/>
      <c r="I26" s="254">
        <f t="shared" si="0"/>
      </c>
      <c r="J26" s="252" t="str">
        <f t="shared" si="1"/>
        <v>---</v>
      </c>
      <c r="K26" s="25"/>
      <c r="L26" s="25"/>
      <c r="M26" s="73"/>
      <c r="N26" s="252" t="str">
        <f t="shared" si="2"/>
        <v>---</v>
      </c>
      <c r="O26" s="25"/>
      <c r="P26" s="25"/>
      <c r="Q26" s="74"/>
      <c r="R26" s="73"/>
      <c r="S26" s="73"/>
      <c r="T26" s="32">
        <v>10</v>
      </c>
      <c r="U26" s="25">
        <v>0.0011</v>
      </c>
    </row>
    <row r="27" spans="2:21" ht="15" customHeight="1">
      <c r="B27" s="24"/>
      <c r="C27" s="25"/>
      <c r="D27" s="25"/>
      <c r="E27" s="25"/>
      <c r="F27" s="25"/>
      <c r="G27" s="26"/>
      <c r="H27" s="26"/>
      <c r="I27" s="254">
        <f t="shared" si="0"/>
      </c>
      <c r="J27" s="252" t="str">
        <f t="shared" si="1"/>
        <v>---</v>
      </c>
      <c r="K27" s="25"/>
      <c r="L27" s="25"/>
      <c r="M27" s="73"/>
      <c r="N27" s="252" t="str">
        <f t="shared" si="2"/>
        <v>---</v>
      </c>
      <c r="O27" s="25"/>
      <c r="P27" s="25"/>
      <c r="Q27" s="74"/>
      <c r="R27" s="73"/>
      <c r="S27" s="73"/>
      <c r="T27" s="32"/>
      <c r="U27" s="25"/>
    </row>
    <row r="28" spans="2:21" ht="15" customHeight="1">
      <c r="B28" s="24"/>
      <c r="C28" s="25"/>
      <c r="D28" s="25"/>
      <c r="E28" s="25"/>
      <c r="F28" s="25"/>
      <c r="G28" s="26"/>
      <c r="H28" s="26"/>
      <c r="I28" s="254">
        <f t="shared" si="0"/>
      </c>
      <c r="J28" s="252" t="str">
        <f t="shared" si="1"/>
        <v>---</v>
      </c>
      <c r="K28" s="25"/>
      <c r="L28" s="25"/>
      <c r="M28" s="73"/>
      <c r="N28" s="252" t="str">
        <f t="shared" si="2"/>
        <v>---</v>
      </c>
      <c r="O28" s="25"/>
      <c r="P28" s="25"/>
      <c r="Q28" s="74"/>
      <c r="R28" s="73"/>
      <c r="S28" s="73"/>
      <c r="T28" s="32"/>
      <c r="U28" s="25"/>
    </row>
    <row r="29" spans="2:21" ht="15" customHeight="1">
      <c r="B29" s="24"/>
      <c r="C29" s="25"/>
      <c r="D29" s="25"/>
      <c r="E29" s="25"/>
      <c r="F29" s="25"/>
      <c r="G29" s="26"/>
      <c r="H29" s="26"/>
      <c r="I29" s="254">
        <f t="shared" si="0"/>
      </c>
      <c r="J29" s="252" t="str">
        <f t="shared" si="1"/>
        <v>---</v>
      </c>
      <c r="K29" s="25"/>
      <c r="L29" s="25"/>
      <c r="M29" s="73"/>
      <c r="N29" s="252" t="str">
        <f t="shared" si="2"/>
        <v>---</v>
      </c>
      <c r="O29" s="25"/>
      <c r="P29" s="25"/>
      <c r="Q29" s="74"/>
      <c r="R29" s="73"/>
      <c r="S29" s="73"/>
      <c r="T29" s="32"/>
      <c r="U29" s="25"/>
    </row>
    <row r="30" spans="2:21" ht="15" customHeight="1">
      <c r="B30" s="24"/>
      <c r="C30" s="25"/>
      <c r="D30" s="25"/>
      <c r="E30" s="25"/>
      <c r="F30" s="25"/>
      <c r="G30" s="26"/>
      <c r="H30" s="26"/>
      <c r="I30" s="254">
        <f t="shared" si="0"/>
      </c>
      <c r="J30" s="252" t="str">
        <f t="shared" si="1"/>
        <v>---</v>
      </c>
      <c r="K30" s="25"/>
      <c r="L30" s="25"/>
      <c r="M30" s="73"/>
      <c r="N30" s="252" t="str">
        <f t="shared" si="2"/>
        <v>---</v>
      </c>
      <c r="O30" s="25"/>
      <c r="P30" s="25"/>
      <c r="Q30" s="74"/>
      <c r="R30" s="73"/>
      <c r="S30" s="73"/>
      <c r="T30" s="32"/>
      <c r="U30" s="25"/>
    </row>
    <row r="31" spans="2:21" ht="15" customHeight="1">
      <c r="B31" s="24"/>
      <c r="C31" s="25"/>
      <c r="D31" s="25"/>
      <c r="E31" s="25"/>
      <c r="F31" s="25"/>
      <c r="G31" s="26"/>
      <c r="H31" s="26"/>
      <c r="I31" s="254">
        <f t="shared" si="0"/>
      </c>
      <c r="J31" s="252" t="str">
        <f t="shared" si="1"/>
        <v>---</v>
      </c>
      <c r="K31" s="25"/>
      <c r="L31" s="25"/>
      <c r="M31" s="73"/>
      <c r="N31" s="252" t="str">
        <f t="shared" si="2"/>
        <v>---</v>
      </c>
      <c r="O31" s="25"/>
      <c r="P31" s="25"/>
      <c r="Q31" s="74"/>
      <c r="R31" s="73"/>
      <c r="S31" s="73"/>
      <c r="T31" s="32"/>
      <c r="U31" s="25"/>
    </row>
    <row r="32" spans="2:21" ht="15" customHeight="1">
      <c r="B32" s="24"/>
      <c r="C32" s="25"/>
      <c r="D32" s="25"/>
      <c r="E32" s="25"/>
      <c r="F32" s="25"/>
      <c r="G32" s="26"/>
      <c r="H32" s="26"/>
      <c r="I32" s="254">
        <f t="shared" si="0"/>
      </c>
      <c r="J32" s="252" t="str">
        <f t="shared" si="1"/>
        <v>---</v>
      </c>
      <c r="K32" s="25"/>
      <c r="L32" s="25"/>
      <c r="M32" s="73"/>
      <c r="N32" s="252" t="str">
        <f t="shared" si="2"/>
        <v>---</v>
      </c>
      <c r="O32" s="25"/>
      <c r="P32" s="25"/>
      <c r="Q32" s="74"/>
      <c r="R32" s="73"/>
      <c r="S32" s="73"/>
      <c r="T32" s="32"/>
      <c r="U32" s="25"/>
    </row>
    <row r="33" spans="2:21" ht="15" customHeight="1">
      <c r="B33" s="24"/>
      <c r="C33" s="25"/>
      <c r="D33" s="25"/>
      <c r="E33" s="25"/>
      <c r="F33" s="25"/>
      <c r="G33" s="26"/>
      <c r="H33" s="26"/>
      <c r="I33" s="254">
        <f t="shared" si="0"/>
      </c>
      <c r="J33" s="252" t="str">
        <f t="shared" si="1"/>
        <v>---</v>
      </c>
      <c r="K33" s="25"/>
      <c r="L33" s="25"/>
      <c r="M33" s="73"/>
      <c r="N33" s="252" t="str">
        <f t="shared" si="2"/>
        <v>---</v>
      </c>
      <c r="O33" s="25"/>
      <c r="P33" s="25"/>
      <c r="Q33" s="74"/>
      <c r="R33" s="73"/>
      <c r="S33" s="73"/>
      <c r="T33" s="32"/>
      <c r="U33" s="25"/>
    </row>
    <row r="34" spans="2:21" ht="15" customHeight="1">
      <c r="B34" s="24"/>
      <c r="C34" s="25"/>
      <c r="D34" s="25"/>
      <c r="E34" s="25"/>
      <c r="F34" s="25"/>
      <c r="G34" s="26"/>
      <c r="H34" s="26"/>
      <c r="I34" s="254">
        <f t="shared" si="0"/>
      </c>
      <c r="J34" s="252" t="str">
        <f t="shared" si="1"/>
        <v>---</v>
      </c>
      <c r="K34" s="25"/>
      <c r="L34" s="25"/>
      <c r="M34" s="73"/>
      <c r="N34" s="252" t="str">
        <f t="shared" si="2"/>
        <v>---</v>
      </c>
      <c r="O34" s="25"/>
      <c r="P34" s="25"/>
      <c r="Q34" s="74"/>
      <c r="R34" s="73"/>
      <c r="S34" s="73"/>
      <c r="T34" s="32"/>
      <c r="U34" s="25"/>
    </row>
    <row r="35" spans="2:21" ht="15" customHeight="1">
      <c r="B35" s="24"/>
      <c r="C35" s="25"/>
      <c r="D35" s="25"/>
      <c r="E35" s="25"/>
      <c r="F35" s="25"/>
      <c r="G35" s="26"/>
      <c r="H35" s="26"/>
      <c r="I35" s="254">
        <f t="shared" si="0"/>
      </c>
      <c r="J35" s="252" t="str">
        <f t="shared" si="1"/>
        <v>---</v>
      </c>
      <c r="K35" s="25"/>
      <c r="L35" s="25"/>
      <c r="M35" s="73"/>
      <c r="N35" s="252" t="str">
        <f t="shared" si="2"/>
        <v>---</v>
      </c>
      <c r="O35" s="25"/>
      <c r="P35" s="25"/>
      <c r="Q35" s="74"/>
      <c r="R35" s="73"/>
      <c r="S35" s="73"/>
      <c r="T35" s="32"/>
      <c r="U35" s="25"/>
    </row>
    <row r="36" spans="2:21" ht="15" customHeight="1">
      <c r="B36" s="24"/>
      <c r="C36" s="25"/>
      <c r="D36" s="25"/>
      <c r="E36" s="25"/>
      <c r="F36" s="25"/>
      <c r="G36" s="26"/>
      <c r="H36" s="26"/>
      <c r="I36" s="254">
        <f t="shared" si="0"/>
      </c>
      <c r="J36" s="252" t="str">
        <f t="shared" si="1"/>
        <v>---</v>
      </c>
      <c r="K36" s="25"/>
      <c r="L36" s="25"/>
      <c r="M36" s="73"/>
      <c r="N36" s="252" t="str">
        <f t="shared" si="2"/>
        <v>---</v>
      </c>
      <c r="O36" s="25"/>
      <c r="P36" s="25"/>
      <c r="Q36" s="74"/>
      <c r="R36" s="73"/>
      <c r="S36" s="73"/>
      <c r="T36" s="32"/>
      <c r="U36" s="25"/>
    </row>
    <row r="37" spans="2:21" ht="15" customHeight="1">
      <c r="B37" s="24"/>
      <c r="C37" s="25"/>
      <c r="D37" s="25"/>
      <c r="E37" s="25"/>
      <c r="F37" s="25"/>
      <c r="G37" s="26"/>
      <c r="H37" s="26"/>
      <c r="I37" s="254">
        <f t="shared" si="0"/>
      </c>
      <c r="J37" s="252" t="str">
        <f t="shared" si="1"/>
        <v>---</v>
      </c>
      <c r="K37" s="25"/>
      <c r="L37" s="25"/>
      <c r="M37" s="73"/>
      <c r="N37" s="252" t="str">
        <f t="shared" si="2"/>
        <v>---</v>
      </c>
      <c r="O37" s="25"/>
      <c r="P37" s="25"/>
      <c r="Q37" s="74"/>
      <c r="R37" s="73"/>
      <c r="S37" s="73"/>
      <c r="T37" s="32"/>
      <c r="U37" s="25"/>
    </row>
    <row r="38" spans="2:21" ht="15" customHeight="1">
      <c r="B38" s="24"/>
      <c r="C38" s="25"/>
      <c r="D38" s="25"/>
      <c r="E38" s="25"/>
      <c r="F38" s="25"/>
      <c r="G38" s="26"/>
      <c r="H38" s="26"/>
      <c r="I38" s="254">
        <f t="shared" si="0"/>
      </c>
      <c r="J38" s="252" t="str">
        <f t="shared" si="1"/>
        <v>---</v>
      </c>
      <c r="K38" s="25"/>
      <c r="L38" s="25"/>
      <c r="M38" s="73"/>
      <c r="N38" s="252" t="str">
        <f t="shared" si="2"/>
        <v>---</v>
      </c>
      <c r="O38" s="25"/>
      <c r="P38" s="25"/>
      <c r="Q38" s="74"/>
      <c r="R38" s="73"/>
      <c r="S38" s="73"/>
      <c r="T38" s="32"/>
      <c r="U38" s="25"/>
    </row>
    <row r="39" spans="2:21" ht="15" customHeight="1">
      <c r="B39" s="24"/>
      <c r="C39" s="25"/>
      <c r="D39" s="25"/>
      <c r="E39" s="25"/>
      <c r="F39" s="25"/>
      <c r="G39" s="26"/>
      <c r="H39" s="26"/>
      <c r="I39" s="254">
        <f t="shared" si="0"/>
      </c>
      <c r="J39" s="252" t="str">
        <f t="shared" si="1"/>
        <v>---</v>
      </c>
      <c r="K39" s="25"/>
      <c r="L39" s="25"/>
      <c r="M39" s="73"/>
      <c r="N39" s="252" t="str">
        <f t="shared" si="2"/>
        <v>---</v>
      </c>
      <c r="O39" s="25"/>
      <c r="P39" s="25"/>
      <c r="Q39" s="74"/>
      <c r="R39" s="73"/>
      <c r="S39" s="73"/>
      <c r="T39" s="32"/>
      <c r="U39" s="25"/>
    </row>
    <row r="40" spans="2:21" ht="15" customHeight="1">
      <c r="B40" s="24"/>
      <c r="C40" s="25"/>
      <c r="D40" s="25"/>
      <c r="E40" s="25"/>
      <c r="F40" s="25"/>
      <c r="G40" s="26"/>
      <c r="H40" s="26"/>
      <c r="I40" s="254">
        <f t="shared" si="0"/>
      </c>
      <c r="J40" s="252" t="str">
        <f t="shared" si="1"/>
        <v>---</v>
      </c>
      <c r="K40" s="25"/>
      <c r="L40" s="25"/>
      <c r="M40" s="73"/>
      <c r="N40" s="252" t="str">
        <f t="shared" si="2"/>
        <v>---</v>
      </c>
      <c r="O40" s="25"/>
      <c r="P40" s="25"/>
      <c r="Q40" s="74"/>
      <c r="R40" s="73"/>
      <c r="S40" s="73"/>
      <c r="T40" s="32"/>
      <c r="U40" s="25"/>
    </row>
    <row r="41" spans="2:21" ht="15" customHeight="1">
      <c r="B41" s="24"/>
      <c r="C41" s="25"/>
      <c r="D41" s="25"/>
      <c r="E41" s="25"/>
      <c r="F41" s="25"/>
      <c r="G41" s="26"/>
      <c r="H41" s="26"/>
      <c r="I41" s="254">
        <f t="shared" si="0"/>
      </c>
      <c r="J41" s="252" t="str">
        <f t="shared" si="1"/>
        <v>---</v>
      </c>
      <c r="K41" s="25"/>
      <c r="L41" s="25"/>
      <c r="M41" s="73"/>
      <c r="N41" s="252" t="str">
        <f t="shared" si="2"/>
        <v>---</v>
      </c>
      <c r="O41" s="25"/>
      <c r="P41" s="25"/>
      <c r="Q41" s="74"/>
      <c r="R41" s="73"/>
      <c r="S41" s="73"/>
      <c r="T41" s="32"/>
      <c r="U41" s="25"/>
    </row>
    <row r="42" spans="2:21" ht="15" customHeight="1">
      <c r="B42" s="24"/>
      <c r="C42" s="25"/>
      <c r="D42" s="25"/>
      <c r="E42" s="25"/>
      <c r="F42" s="25"/>
      <c r="G42" s="26"/>
      <c r="H42" s="26"/>
      <c r="I42" s="254">
        <f t="shared" si="0"/>
      </c>
      <c r="J42" s="252" t="str">
        <f t="shared" si="1"/>
        <v>---</v>
      </c>
      <c r="K42" s="25"/>
      <c r="L42" s="25"/>
      <c r="M42" s="73"/>
      <c r="N42" s="252" t="str">
        <f t="shared" si="2"/>
        <v>---</v>
      </c>
      <c r="O42" s="25"/>
      <c r="P42" s="25"/>
      <c r="Q42" s="74"/>
      <c r="R42" s="73"/>
      <c r="S42" s="73"/>
      <c r="T42" s="32"/>
      <c r="U42" s="25"/>
    </row>
    <row r="43" spans="2:21" ht="15" customHeight="1">
      <c r="B43" s="24"/>
      <c r="C43" s="25"/>
      <c r="D43" s="25"/>
      <c r="E43" s="25"/>
      <c r="F43" s="25"/>
      <c r="G43" s="26"/>
      <c r="H43" s="26"/>
      <c r="I43" s="254">
        <f t="shared" si="0"/>
      </c>
      <c r="J43" s="252" t="str">
        <f t="shared" si="1"/>
        <v>---</v>
      </c>
      <c r="K43" s="25"/>
      <c r="L43" s="25"/>
      <c r="M43" s="73"/>
      <c r="N43" s="252" t="str">
        <f t="shared" si="2"/>
        <v>---</v>
      </c>
      <c r="O43" s="25"/>
      <c r="P43" s="25"/>
      <c r="Q43" s="74"/>
      <c r="R43" s="73"/>
      <c r="S43" s="73"/>
      <c r="T43" s="32"/>
      <c r="U43" s="25"/>
    </row>
    <row r="44" spans="2:21" ht="15" customHeight="1">
      <c r="B44" s="24"/>
      <c r="C44" s="25"/>
      <c r="D44" s="25"/>
      <c r="E44" s="25"/>
      <c r="F44" s="25"/>
      <c r="G44" s="26"/>
      <c r="H44" s="26"/>
      <c r="I44" s="254">
        <f t="shared" si="0"/>
      </c>
      <c r="J44" s="252" t="str">
        <f t="shared" si="1"/>
        <v>---</v>
      </c>
      <c r="K44" s="25"/>
      <c r="L44" s="25"/>
      <c r="M44" s="73"/>
      <c r="N44" s="252" t="str">
        <f t="shared" si="2"/>
        <v>---</v>
      </c>
      <c r="O44" s="25"/>
      <c r="P44" s="25"/>
      <c r="Q44" s="74"/>
      <c r="R44" s="73"/>
      <c r="S44" s="73"/>
      <c r="T44" s="32"/>
      <c r="U44" s="25"/>
    </row>
    <row r="45" spans="2:21" ht="15" customHeight="1">
      <c r="B45" s="24"/>
      <c r="C45" s="25"/>
      <c r="D45" s="25"/>
      <c r="E45" s="25"/>
      <c r="F45" s="25"/>
      <c r="G45" s="26"/>
      <c r="H45" s="26"/>
      <c r="I45" s="254">
        <f t="shared" si="0"/>
      </c>
      <c r="J45" s="252" t="str">
        <f t="shared" si="1"/>
        <v>---</v>
      </c>
      <c r="K45" s="25"/>
      <c r="L45" s="25"/>
      <c r="M45" s="73"/>
      <c r="N45" s="252" t="str">
        <f t="shared" si="2"/>
        <v>---</v>
      </c>
      <c r="O45" s="25"/>
      <c r="P45" s="25"/>
      <c r="Q45" s="74"/>
      <c r="R45" s="73"/>
      <c r="S45" s="73"/>
      <c r="T45" s="32"/>
      <c r="U45" s="25"/>
    </row>
    <row r="46" spans="2:21" ht="15" customHeight="1">
      <c r="B46" s="24"/>
      <c r="C46" s="25"/>
      <c r="D46" s="25"/>
      <c r="E46" s="25"/>
      <c r="F46" s="25"/>
      <c r="G46" s="26"/>
      <c r="H46" s="26"/>
      <c r="I46" s="254">
        <f t="shared" si="0"/>
      </c>
      <c r="J46" s="252" t="str">
        <f t="shared" si="1"/>
        <v>---</v>
      </c>
      <c r="K46" s="25"/>
      <c r="L46" s="25"/>
      <c r="M46" s="73"/>
      <c r="N46" s="252" t="str">
        <f t="shared" si="2"/>
        <v>---</v>
      </c>
      <c r="O46" s="25"/>
      <c r="P46" s="25"/>
      <c r="Q46" s="74"/>
      <c r="R46" s="73"/>
      <c r="S46" s="73"/>
      <c r="T46" s="32"/>
      <c r="U46" s="25"/>
    </row>
    <row r="47" spans="2:21" ht="15" customHeight="1">
      <c r="B47" s="24"/>
      <c r="C47" s="25"/>
      <c r="D47" s="25"/>
      <c r="E47" s="25"/>
      <c r="F47" s="25"/>
      <c r="G47" s="26"/>
      <c r="H47" s="26"/>
      <c r="I47" s="254">
        <f t="shared" si="0"/>
      </c>
      <c r="J47" s="252" t="str">
        <f t="shared" si="1"/>
        <v>---</v>
      </c>
      <c r="K47" s="25"/>
      <c r="L47" s="25"/>
      <c r="M47" s="73"/>
      <c r="N47" s="252" t="str">
        <f t="shared" si="2"/>
        <v>---</v>
      </c>
      <c r="O47" s="25"/>
      <c r="P47" s="25"/>
      <c r="Q47" s="74"/>
      <c r="R47" s="73"/>
      <c r="S47" s="73"/>
      <c r="T47" s="32"/>
      <c r="U47" s="25"/>
    </row>
    <row r="48" spans="2:21" ht="15" customHeight="1">
      <c r="B48" s="24"/>
      <c r="C48" s="25"/>
      <c r="D48" s="25"/>
      <c r="E48" s="25"/>
      <c r="F48" s="25"/>
      <c r="G48" s="26"/>
      <c r="H48" s="26"/>
      <c r="I48" s="254">
        <f t="shared" si="0"/>
      </c>
      <c r="J48" s="252" t="str">
        <f t="shared" si="1"/>
        <v>---</v>
      </c>
      <c r="K48" s="25"/>
      <c r="L48" s="25"/>
      <c r="M48" s="73"/>
      <c r="N48" s="252" t="str">
        <f t="shared" si="2"/>
        <v>---</v>
      </c>
      <c r="O48" s="25"/>
      <c r="P48" s="25"/>
      <c r="Q48" s="74"/>
      <c r="R48" s="73"/>
      <c r="S48" s="73"/>
      <c r="T48" s="32"/>
      <c r="U48" s="25"/>
    </row>
    <row r="49" spans="2:21" ht="15" customHeight="1">
      <c r="B49" s="24"/>
      <c r="C49" s="25"/>
      <c r="D49" s="25"/>
      <c r="E49" s="25"/>
      <c r="F49" s="25"/>
      <c r="G49" s="26"/>
      <c r="H49" s="26"/>
      <c r="I49" s="254">
        <f t="shared" si="0"/>
      </c>
      <c r="J49" s="252" t="str">
        <f t="shared" si="1"/>
        <v>---</v>
      </c>
      <c r="K49" s="25"/>
      <c r="L49" s="25"/>
      <c r="M49" s="73"/>
      <c r="N49" s="252" t="str">
        <f t="shared" si="2"/>
        <v>---</v>
      </c>
      <c r="O49" s="25"/>
      <c r="P49" s="25"/>
      <c r="Q49" s="74"/>
      <c r="R49" s="73"/>
      <c r="S49" s="73"/>
      <c r="T49" s="32"/>
      <c r="U49" s="25"/>
    </row>
    <row r="50" spans="2:21" ht="15" customHeight="1">
      <c r="B50" s="24"/>
      <c r="C50" s="25"/>
      <c r="D50" s="25"/>
      <c r="E50" s="25"/>
      <c r="F50" s="25"/>
      <c r="G50" s="26"/>
      <c r="H50" s="26"/>
      <c r="I50" s="254">
        <f t="shared" si="0"/>
      </c>
      <c r="J50" s="252" t="str">
        <f t="shared" si="1"/>
        <v>---</v>
      </c>
      <c r="K50" s="25"/>
      <c r="L50" s="25"/>
      <c r="M50" s="73"/>
      <c r="N50" s="252" t="str">
        <f t="shared" si="2"/>
        <v>---</v>
      </c>
      <c r="O50" s="25"/>
      <c r="P50" s="25"/>
      <c r="Q50" s="74"/>
      <c r="R50" s="73"/>
      <c r="S50" s="73"/>
      <c r="T50" s="32"/>
      <c r="U50" s="25"/>
    </row>
    <row r="51" spans="2:21" ht="15" customHeight="1">
      <c r="B51" s="24"/>
      <c r="C51" s="25"/>
      <c r="D51" s="25"/>
      <c r="E51" s="25"/>
      <c r="F51" s="25"/>
      <c r="G51" s="26"/>
      <c r="H51" s="26"/>
      <c r="I51" s="254">
        <f t="shared" si="0"/>
      </c>
      <c r="J51" s="252" t="str">
        <f t="shared" si="1"/>
        <v>---</v>
      </c>
      <c r="K51" s="25"/>
      <c r="L51" s="25"/>
      <c r="M51" s="73"/>
      <c r="N51" s="252" t="str">
        <f t="shared" si="2"/>
        <v>---</v>
      </c>
      <c r="O51" s="25"/>
      <c r="P51" s="25"/>
      <c r="Q51" s="74"/>
      <c r="R51" s="73"/>
      <c r="S51" s="73"/>
      <c r="T51" s="32"/>
      <c r="U51" s="25"/>
    </row>
    <row r="52" spans="2:21" ht="15" customHeight="1">
      <c r="B52" s="24"/>
      <c r="C52" s="25"/>
      <c r="D52" s="25"/>
      <c r="E52" s="25"/>
      <c r="F52" s="25"/>
      <c r="G52" s="26"/>
      <c r="H52" s="26"/>
      <c r="I52" s="254">
        <f t="shared" si="0"/>
      </c>
      <c r="J52" s="252" t="str">
        <f t="shared" si="1"/>
        <v>---</v>
      </c>
      <c r="K52" s="25"/>
      <c r="L52" s="25"/>
      <c r="M52" s="73"/>
      <c r="N52" s="252" t="str">
        <f t="shared" si="2"/>
        <v>---</v>
      </c>
      <c r="O52" s="25"/>
      <c r="P52" s="25"/>
      <c r="Q52" s="74"/>
      <c r="R52" s="73"/>
      <c r="S52" s="73"/>
      <c r="T52" s="32"/>
      <c r="U52" s="25"/>
    </row>
    <row r="53" spans="2:21" ht="15" customHeight="1">
      <c r="B53" s="24"/>
      <c r="C53" s="25"/>
      <c r="D53" s="25"/>
      <c r="E53" s="25"/>
      <c r="F53" s="25"/>
      <c r="G53" s="26"/>
      <c r="H53" s="26"/>
      <c r="I53" s="254">
        <f t="shared" si="0"/>
      </c>
      <c r="J53" s="252" t="str">
        <f t="shared" si="1"/>
        <v>---</v>
      </c>
      <c r="K53" s="25"/>
      <c r="L53" s="25"/>
      <c r="M53" s="73"/>
      <c r="N53" s="252" t="str">
        <f t="shared" si="2"/>
        <v>---</v>
      </c>
      <c r="O53" s="25"/>
      <c r="P53" s="25"/>
      <c r="Q53" s="74"/>
      <c r="R53" s="73"/>
      <c r="S53" s="73"/>
      <c r="T53" s="32"/>
      <c r="U53" s="25"/>
    </row>
    <row r="54" spans="2:21" ht="15" customHeight="1">
      <c r="B54" s="24"/>
      <c r="C54" s="25"/>
      <c r="D54" s="25"/>
      <c r="E54" s="25"/>
      <c r="F54" s="25"/>
      <c r="G54" s="26"/>
      <c r="H54" s="26"/>
      <c r="I54" s="254">
        <f t="shared" si="0"/>
      </c>
      <c r="J54" s="252" t="str">
        <f t="shared" si="1"/>
        <v>---</v>
      </c>
      <c r="K54" s="25"/>
      <c r="L54" s="25"/>
      <c r="M54" s="73"/>
      <c r="N54" s="252" t="str">
        <f t="shared" si="2"/>
        <v>---</v>
      </c>
      <c r="O54" s="25"/>
      <c r="P54" s="25"/>
      <c r="Q54" s="74"/>
      <c r="R54" s="73"/>
      <c r="S54" s="73"/>
      <c r="T54" s="32"/>
      <c r="U54" s="25"/>
    </row>
    <row r="55" spans="2:21" ht="15" customHeight="1">
      <c r="B55" s="24"/>
      <c r="C55" s="25"/>
      <c r="D55" s="25"/>
      <c r="E55" s="25"/>
      <c r="F55" s="25"/>
      <c r="G55" s="26"/>
      <c r="H55" s="26"/>
      <c r="I55" s="254">
        <f t="shared" si="0"/>
      </c>
      <c r="J55" s="252" t="str">
        <f t="shared" si="1"/>
        <v>---</v>
      </c>
      <c r="K55" s="25"/>
      <c r="L55" s="25"/>
      <c r="M55" s="73"/>
      <c r="N55" s="252" t="str">
        <f t="shared" si="2"/>
        <v>---</v>
      </c>
      <c r="O55" s="25"/>
      <c r="P55" s="25"/>
      <c r="Q55" s="74"/>
      <c r="R55" s="73"/>
      <c r="S55" s="73"/>
      <c r="T55" s="32"/>
      <c r="U55" s="25"/>
    </row>
    <row r="56" spans="2:21" ht="15" customHeight="1">
      <c r="B56" s="24"/>
      <c r="C56" s="25"/>
      <c r="D56" s="25"/>
      <c r="E56" s="25"/>
      <c r="F56" s="25"/>
      <c r="G56" s="26"/>
      <c r="H56" s="26"/>
      <c r="I56" s="254">
        <f t="shared" si="0"/>
      </c>
      <c r="J56" s="252" t="str">
        <f t="shared" si="1"/>
        <v>---</v>
      </c>
      <c r="K56" s="25"/>
      <c r="L56" s="25"/>
      <c r="M56" s="73"/>
      <c r="N56" s="252" t="str">
        <f t="shared" si="2"/>
        <v>---</v>
      </c>
      <c r="O56" s="25"/>
      <c r="P56" s="25"/>
      <c r="Q56" s="74"/>
      <c r="R56" s="73"/>
      <c r="S56" s="73"/>
      <c r="T56" s="32"/>
      <c r="U56" s="25"/>
    </row>
    <row r="57" spans="2:21" ht="15" customHeight="1">
      <c r="B57" s="24"/>
      <c r="C57" s="25"/>
      <c r="D57" s="25"/>
      <c r="E57" s="25"/>
      <c r="F57" s="25"/>
      <c r="G57" s="26"/>
      <c r="H57" s="26"/>
      <c r="I57" s="254">
        <f t="shared" si="0"/>
      </c>
      <c r="J57" s="252" t="str">
        <f t="shared" si="1"/>
        <v>---</v>
      </c>
      <c r="K57" s="25"/>
      <c r="L57" s="25"/>
      <c r="M57" s="73"/>
      <c r="N57" s="252" t="str">
        <f t="shared" si="2"/>
        <v>---</v>
      </c>
      <c r="O57" s="25"/>
      <c r="P57" s="25"/>
      <c r="Q57" s="74"/>
      <c r="R57" s="73"/>
      <c r="S57" s="73"/>
      <c r="T57" s="32"/>
      <c r="U57" s="25"/>
    </row>
    <row r="58" spans="2:21" ht="15" customHeight="1">
      <c r="B58" s="24"/>
      <c r="C58" s="25"/>
      <c r="D58" s="25"/>
      <c r="E58" s="25"/>
      <c r="F58" s="25"/>
      <c r="G58" s="26"/>
      <c r="H58" s="26"/>
      <c r="I58" s="254">
        <f t="shared" si="0"/>
      </c>
      <c r="J58" s="252" t="str">
        <f t="shared" si="1"/>
        <v>---</v>
      </c>
      <c r="K58" s="25"/>
      <c r="L58" s="25"/>
      <c r="M58" s="73"/>
      <c r="N58" s="252" t="str">
        <f t="shared" si="2"/>
        <v>---</v>
      </c>
      <c r="O58" s="25"/>
      <c r="P58" s="25"/>
      <c r="Q58" s="74"/>
      <c r="R58" s="73"/>
      <c r="S58" s="73"/>
      <c r="T58" s="32"/>
      <c r="U58" s="25"/>
    </row>
    <row r="59" spans="2:21" ht="15" customHeight="1">
      <c r="B59" s="24"/>
      <c r="C59" s="25"/>
      <c r="D59" s="25"/>
      <c r="E59" s="25"/>
      <c r="F59" s="25"/>
      <c r="G59" s="26"/>
      <c r="H59" s="26"/>
      <c r="I59" s="254">
        <f t="shared" si="0"/>
      </c>
      <c r="J59" s="252" t="str">
        <f t="shared" si="1"/>
        <v>---</v>
      </c>
      <c r="K59" s="25"/>
      <c r="L59" s="25"/>
      <c r="M59" s="73"/>
      <c r="N59" s="252" t="str">
        <f t="shared" si="2"/>
        <v>---</v>
      </c>
      <c r="O59" s="25"/>
      <c r="P59" s="25"/>
      <c r="Q59" s="74"/>
      <c r="R59" s="73"/>
      <c r="S59" s="73"/>
      <c r="T59" s="32"/>
      <c r="U59" s="25"/>
    </row>
    <row r="60" spans="2:21" ht="15" customHeight="1">
      <c r="B60" s="24"/>
      <c r="C60" s="25"/>
      <c r="D60" s="25"/>
      <c r="E60" s="25"/>
      <c r="F60" s="25"/>
      <c r="G60" s="26"/>
      <c r="H60" s="26"/>
      <c r="I60" s="254">
        <f t="shared" si="0"/>
      </c>
      <c r="J60" s="252" t="str">
        <f t="shared" si="1"/>
        <v>---</v>
      </c>
      <c r="K60" s="25"/>
      <c r="L60" s="25"/>
      <c r="M60" s="73"/>
      <c r="N60" s="252" t="str">
        <f t="shared" si="2"/>
        <v>---</v>
      </c>
      <c r="O60" s="25"/>
      <c r="P60" s="25"/>
      <c r="Q60" s="74"/>
      <c r="R60" s="73"/>
      <c r="S60" s="73"/>
      <c r="T60" s="32"/>
      <c r="U60" s="25"/>
    </row>
    <row r="61" spans="2:21" ht="15" customHeight="1">
      <c r="B61" s="24"/>
      <c r="C61" s="25"/>
      <c r="D61" s="25"/>
      <c r="E61" s="25"/>
      <c r="F61" s="25"/>
      <c r="G61" s="26"/>
      <c r="H61" s="26"/>
      <c r="I61" s="254">
        <f t="shared" si="0"/>
      </c>
      <c r="J61" s="252" t="str">
        <f t="shared" si="1"/>
        <v>---</v>
      </c>
      <c r="K61" s="25"/>
      <c r="L61" s="25"/>
      <c r="M61" s="73"/>
      <c r="N61" s="252" t="str">
        <f t="shared" si="2"/>
        <v>---</v>
      </c>
      <c r="O61" s="25"/>
      <c r="P61" s="25"/>
      <c r="Q61" s="74"/>
      <c r="R61" s="73"/>
      <c r="S61" s="73"/>
      <c r="T61" s="32"/>
      <c r="U61" s="25"/>
    </row>
    <row r="62" spans="2:21" ht="15" customHeight="1">
      <c r="B62" s="24"/>
      <c r="C62" s="25"/>
      <c r="D62" s="25"/>
      <c r="E62" s="25"/>
      <c r="F62" s="25"/>
      <c r="G62" s="26"/>
      <c r="H62" s="26"/>
      <c r="I62" s="254">
        <f t="shared" si="0"/>
      </c>
      <c r="J62" s="252" t="str">
        <f t="shared" si="1"/>
        <v>---</v>
      </c>
      <c r="K62" s="25"/>
      <c r="L62" s="25"/>
      <c r="M62" s="73"/>
      <c r="N62" s="252" t="str">
        <f t="shared" si="2"/>
        <v>---</v>
      </c>
      <c r="O62" s="25"/>
      <c r="P62" s="25"/>
      <c r="Q62" s="74"/>
      <c r="R62" s="73"/>
      <c r="S62" s="73"/>
      <c r="T62" s="32"/>
      <c r="U62" s="25"/>
    </row>
    <row r="63" spans="2:21" ht="15" customHeight="1">
      <c r="B63" s="24"/>
      <c r="C63" s="25"/>
      <c r="D63" s="25"/>
      <c r="E63" s="25"/>
      <c r="F63" s="25"/>
      <c r="G63" s="26"/>
      <c r="H63" s="26"/>
      <c r="I63" s="254">
        <f t="shared" si="0"/>
      </c>
      <c r="J63" s="252" t="str">
        <f t="shared" si="1"/>
        <v>---</v>
      </c>
      <c r="K63" s="25"/>
      <c r="L63" s="25"/>
      <c r="M63" s="73"/>
      <c r="N63" s="252" t="str">
        <f t="shared" si="2"/>
        <v>---</v>
      </c>
      <c r="O63" s="25"/>
      <c r="P63" s="25"/>
      <c r="Q63" s="74"/>
      <c r="R63" s="73"/>
      <c r="S63" s="73"/>
      <c r="T63" s="32"/>
      <c r="U63" s="25"/>
    </row>
    <row r="64" spans="2:21" ht="15" customHeight="1">
      <c r="B64" s="24"/>
      <c r="C64" s="25"/>
      <c r="D64" s="25"/>
      <c r="E64" s="25"/>
      <c r="F64" s="25"/>
      <c r="G64" s="26"/>
      <c r="H64" s="26"/>
      <c r="I64" s="254">
        <f t="shared" si="0"/>
      </c>
      <c r="J64" s="252" t="str">
        <f t="shared" si="1"/>
        <v>---</v>
      </c>
      <c r="K64" s="25"/>
      <c r="L64" s="25"/>
      <c r="M64" s="73"/>
      <c r="N64" s="252" t="str">
        <f t="shared" si="2"/>
        <v>---</v>
      </c>
      <c r="O64" s="25"/>
      <c r="P64" s="25"/>
      <c r="Q64" s="74"/>
      <c r="R64" s="73"/>
      <c r="S64" s="73"/>
      <c r="T64" s="32"/>
      <c r="U64" s="25"/>
    </row>
    <row r="65" spans="2:21" ht="15" customHeight="1">
      <c r="B65" s="27"/>
      <c r="C65" s="28"/>
      <c r="D65" s="28"/>
      <c r="E65" s="28"/>
      <c r="F65" s="28"/>
      <c r="G65" s="29"/>
      <c r="H65" s="29"/>
      <c r="I65" s="254">
        <f t="shared" si="0"/>
      </c>
      <c r="J65" s="253" t="str">
        <f t="shared" si="1"/>
        <v>---</v>
      </c>
      <c r="K65" s="28"/>
      <c r="L65" s="28"/>
      <c r="M65" s="73"/>
      <c r="N65" s="253" t="str">
        <f t="shared" si="2"/>
        <v>---</v>
      </c>
      <c r="O65" s="28"/>
      <c r="P65" s="28"/>
      <c r="Q65" s="77"/>
      <c r="R65" s="78"/>
      <c r="S65" s="73"/>
      <c r="T65" s="33"/>
      <c r="U65" s="28"/>
    </row>
    <row r="66" spans="9:17" ht="12.75" customHeight="1">
      <c r="I66" s="39"/>
      <c r="Q66" s="20"/>
    </row>
    <row r="67" ht="12.75">
      <c r="Q67" s="20"/>
    </row>
    <row r="68" ht="12.75">
      <c r="Q68" s="20"/>
    </row>
    <row r="69" ht="12.75">
      <c r="Q69" s="20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J70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2.421875" style="11" customWidth="1"/>
    <col min="2" max="2" width="2.57421875" style="11" customWidth="1"/>
    <col min="3" max="3" width="9.28125" style="11" customWidth="1"/>
    <col min="4" max="5" width="10.140625" style="11" customWidth="1"/>
    <col min="6" max="6" width="14.00390625" style="11" customWidth="1"/>
    <col min="7" max="59" width="9.140625" style="11" customWidth="1"/>
    <col min="60" max="60" width="12.00390625" style="11" customWidth="1"/>
    <col min="61" max="16384" width="9.140625" style="11" customWidth="1"/>
  </cols>
  <sheetData>
    <row r="1" spans="1:19" ht="21.75" customHeight="1">
      <c r="A1" s="2"/>
      <c r="B1" s="12" t="s">
        <v>18</v>
      </c>
      <c r="C1" s="13"/>
      <c r="D1" s="13"/>
      <c r="E1" s="13"/>
      <c r="F1" s="13"/>
      <c r="G1" s="13"/>
      <c r="H1" s="13"/>
      <c r="I1" s="66" t="s">
        <v>116</v>
      </c>
      <c r="J1" s="13"/>
      <c r="K1" s="13"/>
      <c r="L1" s="13"/>
      <c r="N1" s="2"/>
      <c r="O1" s="2"/>
      <c r="P1" s="2"/>
      <c r="Q1" s="2"/>
      <c r="R1" s="2"/>
      <c r="S1" s="2"/>
    </row>
    <row r="2" spans="1:19" ht="18" customHeight="1">
      <c r="A2" s="2"/>
      <c r="C2" s="15" t="s">
        <v>16</v>
      </c>
      <c r="D2" s="16"/>
      <c r="E2" s="16"/>
      <c r="F2" s="13"/>
      <c r="G2" s="13"/>
      <c r="H2" s="13"/>
      <c r="I2" s="13"/>
      <c r="J2" s="13"/>
      <c r="L2" s="13"/>
      <c r="N2" s="2"/>
      <c r="O2" s="2"/>
      <c r="P2" s="2"/>
      <c r="Q2" s="2"/>
      <c r="R2" s="2"/>
      <c r="S2" s="2"/>
    </row>
    <row r="3" spans="1:19" ht="15" customHeight="1">
      <c r="A3" s="2"/>
      <c r="C3" s="79" t="s">
        <v>57</v>
      </c>
      <c r="D3" s="34" t="s">
        <v>121</v>
      </c>
      <c r="E3" s="34"/>
      <c r="F3" s="35"/>
      <c r="G3" s="35"/>
      <c r="H3" s="35"/>
      <c r="I3" s="35"/>
      <c r="J3" s="36"/>
      <c r="N3" s="2"/>
      <c r="O3" s="2"/>
      <c r="P3" s="2"/>
      <c r="Q3" s="2"/>
      <c r="R3" s="2"/>
      <c r="S3" s="2"/>
    </row>
    <row r="4" spans="1:19" ht="15" customHeight="1">
      <c r="A4" s="2"/>
      <c r="C4" s="80" t="s">
        <v>58</v>
      </c>
      <c r="D4" s="2" t="s">
        <v>122</v>
      </c>
      <c r="E4" s="2"/>
      <c r="F4" s="35"/>
      <c r="G4" s="35"/>
      <c r="H4" s="35"/>
      <c r="I4" s="35"/>
      <c r="J4" s="35"/>
      <c r="L4" s="35"/>
      <c r="N4" s="2"/>
      <c r="O4" s="2"/>
      <c r="P4" s="2"/>
      <c r="Q4" s="2"/>
      <c r="R4" s="2"/>
      <c r="S4" s="2"/>
    </row>
    <row r="5" spans="1:19" ht="15" customHeight="1">
      <c r="A5" s="2"/>
      <c r="C5" s="81" t="s">
        <v>59</v>
      </c>
      <c r="D5" s="13" t="s">
        <v>123</v>
      </c>
      <c r="E5" s="13"/>
      <c r="F5" s="35"/>
      <c r="G5" s="35"/>
      <c r="H5" s="35"/>
      <c r="I5" s="35"/>
      <c r="J5" s="35"/>
      <c r="L5" s="35"/>
      <c r="N5" s="2"/>
      <c r="O5" s="2"/>
      <c r="P5" s="2"/>
      <c r="Q5" s="2"/>
      <c r="R5" s="2"/>
      <c r="S5" s="2"/>
    </row>
    <row r="6" spans="1:19" ht="15" customHeight="1">
      <c r="A6" s="2"/>
      <c r="C6" s="2"/>
      <c r="D6" s="35" t="s">
        <v>124</v>
      </c>
      <c r="E6" s="35"/>
      <c r="F6" s="35"/>
      <c r="G6" s="35"/>
      <c r="H6" s="35"/>
      <c r="I6" s="35"/>
      <c r="J6" s="35"/>
      <c r="L6" s="35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37" t="s">
        <v>42</v>
      </c>
      <c r="D7" s="35"/>
      <c r="E7" s="35"/>
      <c r="F7" s="35"/>
      <c r="G7" s="35"/>
      <c r="H7" s="35"/>
      <c r="I7" s="35"/>
      <c r="Q7" s="2"/>
      <c r="R7" s="2"/>
      <c r="S7" s="2"/>
    </row>
    <row r="8" spans="1:19" ht="18" customHeight="1">
      <c r="A8" s="2"/>
      <c r="B8" s="2"/>
      <c r="C8" s="146" t="s">
        <v>57</v>
      </c>
      <c r="D8" s="2" t="s">
        <v>138</v>
      </c>
      <c r="E8" s="2"/>
      <c r="F8" s="2"/>
      <c r="G8" s="2"/>
      <c r="H8" s="2"/>
      <c r="I8" s="147">
        <v>10</v>
      </c>
      <c r="J8" s="38" t="s">
        <v>21</v>
      </c>
      <c r="N8" s="2"/>
      <c r="O8" s="2"/>
      <c r="P8" s="2"/>
      <c r="Q8" s="2"/>
      <c r="R8" s="2"/>
      <c r="S8" s="2"/>
    </row>
    <row r="9" spans="1:19" ht="15" customHeight="1">
      <c r="A9" s="2"/>
      <c r="B9" s="2"/>
      <c r="L9" s="2"/>
      <c r="M9" s="2"/>
      <c r="N9" s="2"/>
      <c r="O9" s="2"/>
      <c r="P9" s="2"/>
      <c r="Q9" s="2"/>
      <c r="R9" s="2"/>
      <c r="S9" s="2"/>
    </row>
    <row r="10" spans="1:19" ht="15" customHeight="1">
      <c r="A10" s="2"/>
      <c r="B10" s="2"/>
      <c r="C10" s="39"/>
      <c r="D10" s="39"/>
      <c r="E10" s="39"/>
      <c r="F10" s="39"/>
      <c r="G10" s="39"/>
      <c r="H10" s="39"/>
      <c r="I10" s="39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61" ht="15" customHeight="1">
      <c r="A11" s="40"/>
      <c r="B11" s="40"/>
      <c r="C11" s="40"/>
      <c r="D11" s="40"/>
      <c r="E11" s="40"/>
      <c r="F11" s="40"/>
      <c r="G11" s="41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2:61" ht="24" customHeight="1" thickBot="1">
      <c r="B12" s="67" t="s">
        <v>50</v>
      </c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G12" s="67" t="s">
        <v>60</v>
      </c>
      <c r="BH12" s="68"/>
      <c r="BI12" s="2"/>
    </row>
    <row r="13" spans="2:61" ht="18" customHeight="1" thickTop="1">
      <c r="B13" s="82"/>
      <c r="C13" s="83"/>
      <c r="D13" s="95" t="s">
        <v>55</v>
      </c>
      <c r="E13" s="180" t="s">
        <v>133</v>
      </c>
      <c r="F13" s="84"/>
      <c r="G13" s="85" t="s">
        <v>52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I13" s="2"/>
    </row>
    <row r="14" spans="2:61" ht="12.75">
      <c r="B14" s="88"/>
      <c r="C14" s="89"/>
      <c r="D14" s="113" t="s">
        <v>56</v>
      </c>
      <c r="E14" s="261" t="s">
        <v>134</v>
      </c>
      <c r="F14" s="90" t="s">
        <v>53</v>
      </c>
      <c r="G14" s="56">
        <v>0</v>
      </c>
      <c r="H14" s="23">
        <v>1</v>
      </c>
      <c r="I14" s="23">
        <v>2</v>
      </c>
      <c r="J14" s="23">
        <v>3</v>
      </c>
      <c r="K14" s="23">
        <v>4</v>
      </c>
      <c r="L14" s="23">
        <v>5</v>
      </c>
      <c r="M14" s="23">
        <v>6</v>
      </c>
      <c r="N14" s="23">
        <v>7</v>
      </c>
      <c r="O14" s="23">
        <v>8</v>
      </c>
      <c r="P14" s="23">
        <v>9</v>
      </c>
      <c r="Q14" s="23">
        <v>10</v>
      </c>
      <c r="R14" s="23">
        <v>11</v>
      </c>
      <c r="S14" s="23">
        <v>12</v>
      </c>
      <c r="T14" s="23">
        <v>13</v>
      </c>
      <c r="U14" s="23">
        <v>14</v>
      </c>
      <c r="V14" s="23">
        <v>15</v>
      </c>
      <c r="W14" s="23">
        <v>16</v>
      </c>
      <c r="X14" s="23">
        <v>17</v>
      </c>
      <c r="Y14" s="23">
        <v>18</v>
      </c>
      <c r="Z14" s="23">
        <v>19</v>
      </c>
      <c r="AA14" s="23">
        <v>20</v>
      </c>
      <c r="AB14" s="23">
        <v>21</v>
      </c>
      <c r="AC14" s="23">
        <v>22</v>
      </c>
      <c r="AD14" s="23">
        <v>23</v>
      </c>
      <c r="AE14" s="23">
        <v>24</v>
      </c>
      <c r="AF14" s="23">
        <v>25</v>
      </c>
      <c r="AG14" s="23">
        <v>26</v>
      </c>
      <c r="AH14" s="23">
        <v>27</v>
      </c>
      <c r="AI14" s="23">
        <v>28</v>
      </c>
      <c r="AJ14" s="23">
        <v>29</v>
      </c>
      <c r="AK14" s="23">
        <v>30</v>
      </c>
      <c r="AL14" s="23">
        <v>31</v>
      </c>
      <c r="AM14" s="23">
        <v>32</v>
      </c>
      <c r="AN14" s="23">
        <v>33</v>
      </c>
      <c r="AO14" s="23">
        <v>34</v>
      </c>
      <c r="AP14" s="23">
        <v>35</v>
      </c>
      <c r="AQ14" s="23">
        <v>36</v>
      </c>
      <c r="AR14" s="23">
        <v>37</v>
      </c>
      <c r="AS14" s="23">
        <v>38</v>
      </c>
      <c r="AT14" s="23">
        <v>39</v>
      </c>
      <c r="AU14" s="23">
        <v>40</v>
      </c>
      <c r="AV14" s="23">
        <v>41</v>
      </c>
      <c r="AW14" s="23">
        <v>42</v>
      </c>
      <c r="AX14" s="23">
        <v>43</v>
      </c>
      <c r="AY14" s="23">
        <v>44</v>
      </c>
      <c r="AZ14" s="23">
        <v>45</v>
      </c>
      <c r="BA14" s="23">
        <v>46</v>
      </c>
      <c r="BB14" s="23">
        <v>47</v>
      </c>
      <c r="BC14" s="23">
        <v>48</v>
      </c>
      <c r="BD14" s="23">
        <v>49</v>
      </c>
      <c r="BE14" s="91">
        <v>50</v>
      </c>
      <c r="BG14" s="61" t="s">
        <v>125</v>
      </c>
      <c r="BH14" s="61" t="s">
        <v>22</v>
      </c>
      <c r="BI14" s="2"/>
    </row>
    <row r="15" spans="2:61" ht="18" customHeight="1">
      <c r="B15" s="262"/>
      <c r="C15" s="263" t="s">
        <v>139</v>
      </c>
      <c r="D15" s="265"/>
      <c r="E15" s="264" t="s">
        <v>4</v>
      </c>
      <c r="F15" s="267">
        <f>1-SUM(G15:BE15)</f>
        <v>0.00550000000000006</v>
      </c>
      <c r="G15" s="266">
        <f>IF(Input!$U16="","",Input!$U16)</f>
        <v>0.3005</v>
      </c>
      <c r="H15" s="266">
        <f>IF(Input!$U17="","",Input!$U17)</f>
        <v>0.26890000000000003</v>
      </c>
      <c r="I15" s="266">
        <f>IF(Input!$U18="","",Input!$U18)</f>
        <v>0.1945</v>
      </c>
      <c r="J15" s="266">
        <f>IF(Input!$U19="","",Input!$U19)</f>
        <v>0.09179999999999999</v>
      </c>
      <c r="K15" s="266">
        <f>IF(Input!$U20="","",Input!$U20)</f>
        <v>0.0732</v>
      </c>
      <c r="L15" s="266">
        <f>IF(Input!$U21="","",Input!$U21)</f>
        <v>0.029500000000000002</v>
      </c>
      <c r="M15" s="266">
        <f>IF(Input!$U22="","",Input!$U22)</f>
        <v>0.018600000000000002</v>
      </c>
      <c r="N15" s="266">
        <f>IF(Input!$U23="","",Input!$U23)</f>
        <v>0.0131</v>
      </c>
      <c r="O15" s="266">
        <f>IF(Input!$U24="","",Input!$U24)</f>
        <v>0.0011</v>
      </c>
      <c r="P15" s="266">
        <f>IF(Input!$U25="","",Input!$U25)</f>
        <v>0.0022</v>
      </c>
      <c r="Q15" s="266">
        <f>IF(Input!$U26="","",Input!$U26)</f>
        <v>0.0011</v>
      </c>
      <c r="R15" s="266">
        <f>IF(Input!$U27="","",Input!$U27)</f>
      </c>
      <c r="S15" s="266">
        <f>IF(Input!$U28="","",Input!$U28)</f>
      </c>
      <c r="T15" s="266">
        <f>IF(Input!$U29="","",Input!$U29)</f>
      </c>
      <c r="U15" s="266">
        <f>IF(Input!$U30="","",Input!$U30)</f>
      </c>
      <c r="V15" s="266">
        <f>IF(Input!$U31="","",Input!$U31)</f>
      </c>
      <c r="W15" s="266">
        <f>IF(Input!$U32="","",Input!$U32)</f>
      </c>
      <c r="X15" s="266">
        <f>IF(Input!$U33="","",Input!$U33)</f>
      </c>
      <c r="Y15" s="266">
        <f>IF(Input!$U34="","",Input!$U34)</f>
      </c>
      <c r="Z15" s="266">
        <f>IF(Input!$U35="","",Input!$U35)</f>
      </c>
      <c r="AA15" s="266">
        <f>IF(Input!$U36="","",Input!$U36)</f>
      </c>
      <c r="AB15" s="266">
        <f>IF(Input!$U37="","",Input!$U37)</f>
      </c>
      <c r="AC15" s="266">
        <f>IF(Input!$U38="","",Input!$U38)</f>
      </c>
      <c r="AD15" s="266">
        <f>IF(Input!$U39="","",Input!$U39)</f>
      </c>
      <c r="AE15" s="266">
        <f>IF(Input!$U40="","",Input!$U40)</f>
      </c>
      <c r="AF15" s="266">
        <f>IF(Input!$U41="","",Input!$U41)</f>
      </c>
      <c r="AG15" s="266">
        <f>IF(Input!$U42="","",Input!$U42)</f>
      </c>
      <c r="AH15" s="266">
        <f>IF(Input!$U43="","",Input!$U43)</f>
      </c>
      <c r="AI15" s="266">
        <f>IF(Input!$U44="","",Input!$U44)</f>
      </c>
      <c r="AJ15" s="266">
        <f>IF(Input!$U45="","",Input!$U45)</f>
      </c>
      <c r="AK15" s="266">
        <f>IF(Input!$U46="","",Input!$U46)</f>
      </c>
      <c r="AL15" s="266">
        <f>IF(Input!$U47="","",Input!$U47)</f>
      </c>
      <c r="AM15" s="266">
        <f>IF(Input!$U48="","",Input!$U48)</f>
      </c>
      <c r="AN15" s="266">
        <f>IF(Input!$U49="","",Input!$U49)</f>
      </c>
      <c r="AO15" s="266">
        <f>IF(Input!$U50="","",Input!$U50)</f>
      </c>
      <c r="AP15" s="266">
        <f>IF(Input!$U51="","",Input!$U51)</f>
      </c>
      <c r="AQ15" s="266">
        <f>IF(Input!$U52="","",Input!$U52)</f>
      </c>
      <c r="AR15" s="266">
        <f>IF(Input!$U53="","",Input!$U53)</f>
      </c>
      <c r="AS15" s="266">
        <f>IF(Input!$U54="","",Input!$U54)</f>
      </c>
      <c r="AT15" s="266">
        <f>IF(Input!$U55="","",Input!$U55)</f>
      </c>
      <c r="AU15" s="266">
        <f>IF(Input!$U56="","",Input!$U56)</f>
      </c>
      <c r="AV15" s="266">
        <f>IF(Input!$U57="","",Input!$U57)</f>
      </c>
      <c r="AW15" s="266">
        <f>IF(Input!$U58="","",Input!$U58)</f>
      </c>
      <c r="AX15" s="266">
        <f>IF(Input!$U59="","",Input!$U59)</f>
      </c>
      <c r="AY15" s="266">
        <f>IF(Input!$U60="","",Input!$U60)</f>
      </c>
      <c r="AZ15" s="266">
        <f>IF(Input!$U61="","",Input!$U61)</f>
      </c>
      <c r="BA15" s="266">
        <f>IF(Input!$U62="","",Input!$U62)</f>
      </c>
      <c r="BB15" s="266">
        <f>IF(Input!$U63="","",Input!$U63)</f>
      </c>
      <c r="BC15" s="266">
        <f>IF(Input!$U64="","",Input!$U64)</f>
      </c>
      <c r="BD15" s="266">
        <f>IF(Input!$U65="","",Input!$U65)</f>
      </c>
      <c r="BE15" s="268">
        <f>IF(Input!$U66="","",Input!$U66)</f>
      </c>
      <c r="BG15" s="94"/>
      <c r="BH15" s="94"/>
      <c r="BI15" s="2"/>
    </row>
    <row r="16" spans="2:60" ht="12.75" customHeight="1">
      <c r="B16" s="42"/>
      <c r="C16" s="13"/>
      <c r="D16" s="96" t="s">
        <v>13</v>
      </c>
      <c r="E16" s="202">
        <f>EXP(Psbase)</f>
        <v>1.610093026103516</v>
      </c>
      <c r="F16" s="97">
        <f>1-SUM(G16:BE16)</f>
        <v>1.0883132547379049E-06</v>
      </c>
      <c r="G16" s="92">
        <f aca="true" t="shared" si="0" ref="G16:AL16">IF(G$14&lt;=NmPc,POISSON(G$14,+Epb,FALSE),"")</f>
        <v>0.19986902017413846</v>
      </c>
      <c r="H16" s="92">
        <f t="shared" si="0"/>
        <v>0.32180771551652326</v>
      </c>
      <c r="I16" s="92">
        <f t="shared" si="0"/>
        <v>0.2590701792497292</v>
      </c>
      <c r="J16" s="92">
        <f t="shared" si="0"/>
        <v>0.13904236296045894</v>
      </c>
      <c r="K16" s="92">
        <f t="shared" si="0"/>
        <v>0.05596778473389719</v>
      </c>
      <c r="L16" s="92">
        <f t="shared" si="0"/>
        <v>0.018022667977302134</v>
      </c>
      <c r="M16" s="92">
        <f t="shared" si="0"/>
        <v>0.004836362003672222</v>
      </c>
      <c r="N16" s="92">
        <f t="shared" si="0"/>
        <v>0.001112427533403525</v>
      </c>
      <c r="O16" s="92">
        <f t="shared" si="0"/>
        <v>0.00022388897669731888</v>
      </c>
      <c r="P16" s="92">
        <f t="shared" si="0"/>
        <v>4.0053564444645074E-05</v>
      </c>
      <c r="Q16" s="92">
        <f t="shared" si="0"/>
        <v>6.4489964782910775E-06</v>
      </c>
      <c r="R16" s="92">
        <f t="shared" si="0"/>
      </c>
      <c r="S16" s="92">
        <f t="shared" si="0"/>
      </c>
      <c r="T16" s="92">
        <f t="shared" si="0"/>
      </c>
      <c r="U16" s="92">
        <f t="shared" si="0"/>
      </c>
      <c r="V16" s="92">
        <f t="shared" si="0"/>
      </c>
      <c r="W16" s="92">
        <f t="shared" si="0"/>
      </c>
      <c r="X16" s="92">
        <f t="shared" si="0"/>
      </c>
      <c r="Y16" s="92">
        <f t="shared" si="0"/>
      </c>
      <c r="Z16" s="92">
        <f t="shared" si="0"/>
      </c>
      <c r="AA16" s="92">
        <f t="shared" si="0"/>
      </c>
      <c r="AB16" s="92">
        <f t="shared" si="0"/>
      </c>
      <c r="AC16" s="92">
        <f t="shared" si="0"/>
      </c>
      <c r="AD16" s="92">
        <f t="shared" si="0"/>
      </c>
      <c r="AE16" s="92">
        <f t="shared" si="0"/>
      </c>
      <c r="AF16" s="92">
        <f t="shared" si="0"/>
      </c>
      <c r="AG16" s="92">
        <f t="shared" si="0"/>
      </c>
      <c r="AH16" s="92">
        <f t="shared" si="0"/>
      </c>
      <c r="AI16" s="92">
        <f t="shared" si="0"/>
      </c>
      <c r="AJ16" s="92">
        <f t="shared" si="0"/>
      </c>
      <c r="AK16" s="92">
        <f t="shared" si="0"/>
      </c>
      <c r="AL16" s="92">
        <f t="shared" si="0"/>
      </c>
      <c r="AM16" s="92">
        <f aca="true" t="shared" si="1" ref="AM16:BE16">IF(AM$14&lt;=NmPc,POISSON(AM$14,+Epb,FALSE),"")</f>
      </c>
      <c r="AN16" s="92">
        <f t="shared" si="1"/>
      </c>
      <c r="AO16" s="92">
        <f t="shared" si="1"/>
      </c>
      <c r="AP16" s="92">
        <f t="shared" si="1"/>
      </c>
      <c r="AQ16" s="92">
        <f t="shared" si="1"/>
      </c>
      <c r="AR16" s="92">
        <f t="shared" si="1"/>
      </c>
      <c r="AS16" s="92">
        <f t="shared" si="1"/>
      </c>
      <c r="AT16" s="92">
        <f t="shared" si="1"/>
      </c>
      <c r="AU16" s="92">
        <f t="shared" si="1"/>
      </c>
      <c r="AV16" s="92">
        <f t="shared" si="1"/>
      </c>
      <c r="AW16" s="92">
        <f t="shared" si="1"/>
      </c>
      <c r="AX16" s="92">
        <f t="shared" si="1"/>
      </c>
      <c r="AY16" s="92">
        <f t="shared" si="1"/>
      </c>
      <c r="AZ16" s="92">
        <f t="shared" si="1"/>
      </c>
      <c r="BA16" s="92">
        <f t="shared" si="1"/>
      </c>
      <c r="BB16" s="92">
        <f t="shared" si="1"/>
      </c>
      <c r="BC16" s="92">
        <f t="shared" si="1"/>
      </c>
      <c r="BD16" s="92">
        <f t="shared" si="1"/>
      </c>
      <c r="BE16" s="99">
        <f t="shared" si="1"/>
      </c>
      <c r="BG16" s="72" t="str">
        <f>RHV</f>
        <v>FEM</v>
      </c>
      <c r="BH16" s="72">
        <f>Bval</f>
        <v>0.4601093</v>
      </c>
    </row>
    <row r="17" spans="2:60" ht="12.75" customHeight="1">
      <c r="B17" s="42"/>
      <c r="C17" s="149" t="s">
        <v>36</v>
      </c>
      <c r="D17" s="96" t="s">
        <v>1</v>
      </c>
      <c r="E17" s="202">
        <f>EXP(Psmn)</f>
        <v>1.610093026103516</v>
      </c>
      <c r="F17" s="97">
        <f>1-SUM(G17:BE17)</f>
        <v>1.0883132547379049E-06</v>
      </c>
      <c r="G17" s="92">
        <f aca="true" t="shared" si="2" ref="G17:AL17">IF(G$14&lt;=NmPc,POISSON(G$14,+Epmn,FALSE),"")</f>
        <v>0.19986902017413846</v>
      </c>
      <c r="H17" s="98">
        <f t="shared" si="2"/>
        <v>0.32180771551652326</v>
      </c>
      <c r="I17" s="98">
        <f t="shared" si="2"/>
        <v>0.2590701792497292</v>
      </c>
      <c r="J17" s="98">
        <f t="shared" si="2"/>
        <v>0.13904236296045894</v>
      </c>
      <c r="K17" s="98">
        <f t="shared" si="2"/>
        <v>0.05596778473389719</v>
      </c>
      <c r="L17" s="98">
        <f t="shared" si="2"/>
        <v>0.018022667977302134</v>
      </c>
      <c r="M17" s="98">
        <f t="shared" si="2"/>
        <v>0.004836362003672222</v>
      </c>
      <c r="N17" s="98">
        <f t="shared" si="2"/>
        <v>0.001112427533403525</v>
      </c>
      <c r="O17" s="98">
        <f t="shared" si="2"/>
        <v>0.00022388897669731888</v>
      </c>
      <c r="P17" s="98">
        <f t="shared" si="2"/>
        <v>4.0053564444645074E-05</v>
      </c>
      <c r="Q17" s="98">
        <f t="shared" si="2"/>
        <v>6.4489964782910775E-06</v>
      </c>
      <c r="R17" s="98">
        <f t="shared" si="2"/>
      </c>
      <c r="S17" s="98">
        <f t="shared" si="2"/>
      </c>
      <c r="T17" s="98">
        <f t="shared" si="2"/>
      </c>
      <c r="U17" s="98">
        <f t="shared" si="2"/>
      </c>
      <c r="V17" s="98">
        <f t="shared" si="2"/>
      </c>
      <c r="W17" s="98">
        <f t="shared" si="2"/>
      </c>
      <c r="X17" s="98">
        <f t="shared" si="2"/>
      </c>
      <c r="Y17" s="98">
        <f t="shared" si="2"/>
      </c>
      <c r="Z17" s="98">
        <f t="shared" si="2"/>
      </c>
      <c r="AA17" s="98">
        <f t="shared" si="2"/>
      </c>
      <c r="AB17" s="98">
        <f t="shared" si="2"/>
      </c>
      <c r="AC17" s="98">
        <f t="shared" si="2"/>
      </c>
      <c r="AD17" s="98">
        <f t="shared" si="2"/>
      </c>
      <c r="AE17" s="98">
        <f t="shared" si="2"/>
      </c>
      <c r="AF17" s="98">
        <f t="shared" si="2"/>
      </c>
      <c r="AG17" s="98">
        <f t="shared" si="2"/>
      </c>
      <c r="AH17" s="98">
        <f t="shared" si="2"/>
      </c>
      <c r="AI17" s="98">
        <f t="shared" si="2"/>
      </c>
      <c r="AJ17" s="98">
        <f t="shared" si="2"/>
      </c>
      <c r="AK17" s="98">
        <f t="shared" si="2"/>
      </c>
      <c r="AL17" s="98">
        <f t="shared" si="2"/>
      </c>
      <c r="AM17" s="98">
        <f aca="true" t="shared" si="3" ref="AM17:BE17">IF(AM$14&lt;=NmPc,POISSON(AM$14,+Epmn,FALSE),"")</f>
      </c>
      <c r="AN17" s="98">
        <f t="shared" si="3"/>
      </c>
      <c r="AO17" s="98">
        <f t="shared" si="3"/>
      </c>
      <c r="AP17" s="98">
        <f t="shared" si="3"/>
      </c>
      <c r="AQ17" s="98">
        <f t="shared" si="3"/>
      </c>
      <c r="AR17" s="98">
        <f t="shared" si="3"/>
      </c>
      <c r="AS17" s="98">
        <f t="shared" si="3"/>
      </c>
      <c r="AT17" s="98">
        <f t="shared" si="3"/>
      </c>
      <c r="AU17" s="98">
        <f t="shared" si="3"/>
      </c>
      <c r="AV17" s="98">
        <f t="shared" si="3"/>
      </c>
      <c r="AW17" s="98">
        <f t="shared" si="3"/>
      </c>
      <c r="AX17" s="98">
        <f t="shared" si="3"/>
      </c>
      <c r="AY17" s="98">
        <f t="shared" si="3"/>
      </c>
      <c r="AZ17" s="98">
        <f t="shared" si="3"/>
      </c>
      <c r="BA17" s="98">
        <f t="shared" si="3"/>
      </c>
      <c r="BB17" s="98">
        <f t="shared" si="3"/>
      </c>
      <c r="BC17" s="98">
        <f t="shared" si="3"/>
      </c>
      <c r="BD17" s="98">
        <f t="shared" si="3"/>
      </c>
      <c r="BE17" s="99">
        <f t="shared" si="3"/>
      </c>
      <c r="BG17" s="72" t="str">
        <f>IF(RHV="","---",RHV)</f>
        <v>MAR</v>
      </c>
      <c r="BH17" s="72">
        <f>IF(Bval="","---",Bval)</f>
        <v>0.6622951</v>
      </c>
    </row>
    <row r="18" spans="2:60" ht="12.75" customHeight="1">
      <c r="B18" s="42"/>
      <c r="C18" s="150"/>
      <c r="D18" s="148" t="s">
        <v>19</v>
      </c>
      <c r="E18" s="203">
        <f>EXP(Psmin)</f>
        <v>1.3692975388825712</v>
      </c>
      <c r="F18" s="97">
        <f>1-SUM(G18:BE18)</f>
        <v>2.278913145969952E-07</v>
      </c>
      <c r="G18" s="92">
        <f aca="true" t="shared" si="4" ref="G18:AL18">IF(G$14&lt;=NmPc,POISSON(G$14,+Epmin,FALSE),"")</f>
        <v>0.2542855225209826</v>
      </c>
      <c r="H18" s="98">
        <f t="shared" si="4"/>
        <v>0.34819254016145007</v>
      </c>
      <c r="I18" s="98">
        <f t="shared" si="4"/>
        <v>0.23838959415017222</v>
      </c>
      <c r="J18" s="98">
        <f t="shared" si="4"/>
        <v>0.10880876152168194</v>
      </c>
      <c r="K18" s="98">
        <f t="shared" si="4"/>
        <v>0.037247892340124926</v>
      </c>
      <c r="L18" s="98">
        <f t="shared" si="4"/>
        <v>0.010200689461979207</v>
      </c>
      <c r="M18" s="98">
        <f t="shared" si="4"/>
        <v>0.0023279631625322517</v>
      </c>
      <c r="N18" s="98">
        <f t="shared" si="4"/>
        <v>0.00045538203272352837</v>
      </c>
      <c r="O18" s="98">
        <f t="shared" si="4"/>
        <v>7.794418708245873E-05</v>
      </c>
      <c r="P18" s="98">
        <f t="shared" si="4"/>
        <v>1.1858753726912608E-05</v>
      </c>
      <c r="Q18" s="98">
        <f t="shared" si="4"/>
        <v>1.6238162292475948E-06</v>
      </c>
      <c r="R18" s="98">
        <f t="shared" si="4"/>
      </c>
      <c r="S18" s="98">
        <f t="shared" si="4"/>
      </c>
      <c r="T18" s="98">
        <f t="shared" si="4"/>
      </c>
      <c r="U18" s="98">
        <f t="shared" si="4"/>
      </c>
      <c r="V18" s="98">
        <f t="shared" si="4"/>
      </c>
      <c r="W18" s="98">
        <f t="shared" si="4"/>
      </c>
      <c r="X18" s="98">
        <f t="shared" si="4"/>
      </c>
      <c r="Y18" s="98">
        <f t="shared" si="4"/>
      </c>
      <c r="Z18" s="98">
        <f t="shared" si="4"/>
      </c>
      <c r="AA18" s="98">
        <f t="shared" si="4"/>
      </c>
      <c r="AB18" s="98">
        <f t="shared" si="4"/>
      </c>
      <c r="AC18" s="98">
        <f t="shared" si="4"/>
      </c>
      <c r="AD18" s="98">
        <f t="shared" si="4"/>
      </c>
      <c r="AE18" s="98">
        <f t="shared" si="4"/>
      </c>
      <c r="AF18" s="98">
        <f t="shared" si="4"/>
      </c>
      <c r="AG18" s="98">
        <f t="shared" si="4"/>
      </c>
      <c r="AH18" s="98">
        <f t="shared" si="4"/>
      </c>
      <c r="AI18" s="98">
        <f t="shared" si="4"/>
      </c>
      <c r="AJ18" s="98">
        <f t="shared" si="4"/>
      </c>
      <c r="AK18" s="98">
        <f t="shared" si="4"/>
      </c>
      <c r="AL18" s="98">
        <f t="shared" si="4"/>
      </c>
      <c r="AM18" s="98">
        <f aca="true" t="shared" si="5" ref="AM18:BE18">IF(AM$14&lt;=NmPc,POISSON(AM$14,+Epmin,FALSE),"")</f>
      </c>
      <c r="AN18" s="98">
        <f t="shared" si="5"/>
      </c>
      <c r="AO18" s="98">
        <f t="shared" si="5"/>
      </c>
      <c r="AP18" s="98">
        <f t="shared" si="5"/>
      </c>
      <c r="AQ18" s="98">
        <f t="shared" si="5"/>
      </c>
      <c r="AR18" s="98">
        <f t="shared" si="5"/>
      </c>
      <c r="AS18" s="98">
        <f t="shared" si="5"/>
      </c>
      <c r="AT18" s="98">
        <f t="shared" si="5"/>
      </c>
      <c r="AU18" s="98">
        <f t="shared" si="5"/>
      </c>
      <c r="AV18" s="98">
        <f t="shared" si="5"/>
      </c>
      <c r="AW18" s="98">
        <f t="shared" si="5"/>
      </c>
      <c r="AX18" s="98">
        <f t="shared" si="5"/>
      </c>
      <c r="AY18" s="98">
        <f t="shared" si="5"/>
      </c>
      <c r="AZ18" s="98">
        <f t="shared" si="5"/>
      </c>
      <c r="BA18" s="98">
        <f t="shared" si="5"/>
      </c>
      <c r="BB18" s="98">
        <f t="shared" si="5"/>
      </c>
      <c r="BC18" s="98">
        <f t="shared" si="5"/>
      </c>
      <c r="BD18" s="98">
        <f t="shared" si="5"/>
      </c>
      <c r="BE18" s="99">
        <f t="shared" si="5"/>
      </c>
      <c r="BG18" s="75" t="str">
        <f aca="true" t="shared" si="6" ref="BG18:BG65">IF(RHV="","---",RHV)</f>
        <v>KID5</v>
      </c>
      <c r="BH18" s="75">
        <f aca="true" t="shared" si="7" ref="BH18:BH65">IF(Bval="","---",Bval)</f>
        <v>0.495082</v>
      </c>
    </row>
    <row r="19" spans="2:60" ht="12.75" customHeight="1">
      <c r="B19" s="106"/>
      <c r="C19" s="125"/>
      <c r="D19" s="100" t="s">
        <v>20</v>
      </c>
      <c r="E19" s="204">
        <f>EXP(Psmax)</f>
        <v>5.510446757787148</v>
      </c>
      <c r="F19" s="101">
        <f>1-SUM(G19:BE19)</f>
        <v>0.025550532461898978</v>
      </c>
      <c r="G19" s="102">
        <f aca="true" t="shared" si="8" ref="G19:AL19">IF(G$14&lt;=NmPc,POISSON(G$14,+Epmax,FALSE),"")</f>
        <v>0.004044300156967368</v>
      </c>
      <c r="H19" s="102">
        <f t="shared" si="8"/>
        <v>0.022285900687478884</v>
      </c>
      <c r="I19" s="102">
        <f t="shared" si="8"/>
        <v>0.061402634593842195</v>
      </c>
      <c r="J19" s="102">
        <f t="shared" si="8"/>
        <v>0.11278531623907552</v>
      </c>
      <c r="K19" s="102">
        <f t="shared" si="8"/>
        <v>0.15537437004890303</v>
      </c>
      <c r="L19" s="102">
        <f t="shared" si="8"/>
        <v>0.17123643873583952</v>
      </c>
      <c r="M19" s="102">
        <f t="shared" si="8"/>
        <v>0.15726487977448741</v>
      </c>
      <c r="N19" s="102">
        <f t="shared" si="8"/>
        <v>0.12379996383815858</v>
      </c>
      <c r="O19" s="102">
        <f t="shared" si="8"/>
        <v>0.08527413866826841</v>
      </c>
      <c r="P19" s="102">
        <f t="shared" si="8"/>
        <v>0.052210955660850156</v>
      </c>
      <c r="Q19" s="102">
        <f t="shared" si="8"/>
        <v>0.028770569134229984</v>
      </c>
      <c r="R19" s="102">
        <f t="shared" si="8"/>
      </c>
      <c r="S19" s="102">
        <f t="shared" si="8"/>
      </c>
      <c r="T19" s="102">
        <f t="shared" si="8"/>
      </c>
      <c r="U19" s="102">
        <f t="shared" si="8"/>
      </c>
      <c r="V19" s="102">
        <f t="shared" si="8"/>
      </c>
      <c r="W19" s="102">
        <f t="shared" si="8"/>
      </c>
      <c r="X19" s="102">
        <f t="shared" si="8"/>
      </c>
      <c r="Y19" s="102">
        <f t="shared" si="8"/>
      </c>
      <c r="Z19" s="102">
        <f t="shared" si="8"/>
      </c>
      <c r="AA19" s="102">
        <f t="shared" si="8"/>
      </c>
      <c r="AB19" s="102">
        <f t="shared" si="8"/>
      </c>
      <c r="AC19" s="102">
        <f t="shared" si="8"/>
      </c>
      <c r="AD19" s="102">
        <f t="shared" si="8"/>
      </c>
      <c r="AE19" s="102">
        <f t="shared" si="8"/>
      </c>
      <c r="AF19" s="102">
        <f t="shared" si="8"/>
      </c>
      <c r="AG19" s="102">
        <f t="shared" si="8"/>
      </c>
      <c r="AH19" s="102">
        <f t="shared" si="8"/>
      </c>
      <c r="AI19" s="102">
        <f t="shared" si="8"/>
      </c>
      <c r="AJ19" s="102">
        <f t="shared" si="8"/>
      </c>
      <c r="AK19" s="102">
        <f t="shared" si="8"/>
      </c>
      <c r="AL19" s="102">
        <f t="shared" si="8"/>
      </c>
      <c r="AM19" s="102">
        <f aca="true" t="shared" si="9" ref="AM19:BE19">IF(AM$14&lt;=NmPc,POISSON(AM$14,+Epmax,FALSE),"")</f>
      </c>
      <c r="AN19" s="102">
        <f t="shared" si="9"/>
      </c>
      <c r="AO19" s="102">
        <f t="shared" si="9"/>
      </c>
      <c r="AP19" s="102">
        <f t="shared" si="9"/>
      </c>
      <c r="AQ19" s="102">
        <f t="shared" si="9"/>
      </c>
      <c r="AR19" s="102">
        <f t="shared" si="9"/>
      </c>
      <c r="AS19" s="102">
        <f t="shared" si="9"/>
      </c>
      <c r="AT19" s="102">
        <f t="shared" si="9"/>
      </c>
      <c r="AU19" s="102">
        <f t="shared" si="9"/>
      </c>
      <c r="AV19" s="102">
        <f t="shared" si="9"/>
      </c>
      <c r="AW19" s="102">
        <f t="shared" si="9"/>
      </c>
      <c r="AX19" s="102">
        <f t="shared" si="9"/>
      </c>
      <c r="AY19" s="102">
        <f t="shared" si="9"/>
      </c>
      <c r="AZ19" s="102">
        <f t="shared" si="9"/>
      </c>
      <c r="BA19" s="102">
        <f t="shared" si="9"/>
      </c>
      <c r="BB19" s="102">
        <f t="shared" si="9"/>
      </c>
      <c r="BC19" s="102">
        <f t="shared" si="9"/>
      </c>
      <c r="BD19" s="102">
        <f t="shared" si="9"/>
      </c>
      <c r="BE19" s="103">
        <f t="shared" si="9"/>
      </c>
      <c r="BG19" s="75" t="str">
        <f t="shared" si="6"/>
        <v>PHD</v>
      </c>
      <c r="BH19" s="75">
        <f t="shared" si="7"/>
        <v>3.103109</v>
      </c>
    </row>
    <row r="20" spans="2:60" ht="12.75" customHeight="1">
      <c r="B20" s="106"/>
      <c r="C20" s="107"/>
      <c r="D20" s="95"/>
      <c r="E20" s="196"/>
      <c r="F20" s="108" t="s">
        <v>103</v>
      </c>
      <c r="G20" s="109">
        <f aca="true" t="shared" si="10" ref="G20:AL20">IF(G45&gt;NmPc,"",EXP(GAMMALN(G45+inva))/FACT(G45))</f>
        <v>1.1424405865942335</v>
      </c>
      <c r="H20" s="109">
        <f t="shared" si="10"/>
        <v>2.5869283390553166</v>
      </c>
      <c r="I20" s="109">
        <f t="shared" si="10"/>
        <v>4.222368442502012</v>
      </c>
      <c r="J20" s="109">
        <f t="shared" si="10"/>
        <v>6.001938593493898</v>
      </c>
      <c r="K20" s="109">
        <f t="shared" si="10"/>
        <v>7.89913283078592</v>
      </c>
      <c r="L20" s="109">
        <f t="shared" si="10"/>
        <v>9.89664600794584</v>
      </c>
      <c r="M20" s="109">
        <f t="shared" si="10"/>
        <v>11.982178816226533</v>
      </c>
      <c r="N20" s="109">
        <f t="shared" si="10"/>
        <v>14.146481494356756</v>
      </c>
      <c r="O20" s="109">
        <f t="shared" si="10"/>
        <v>16.382311031068514</v>
      </c>
      <c r="P20" s="109">
        <f t="shared" si="10"/>
        <v>18.683821199528232</v>
      </c>
      <c r="Q20" s="109">
        <f t="shared" si="10"/>
        <v>21.046180451259733</v>
      </c>
      <c r="R20" s="109">
        <f t="shared" si="10"/>
      </c>
      <c r="S20" s="109">
        <f t="shared" si="10"/>
      </c>
      <c r="T20" s="109">
        <f t="shared" si="10"/>
      </c>
      <c r="U20" s="109">
        <f t="shared" si="10"/>
      </c>
      <c r="V20" s="109">
        <f t="shared" si="10"/>
      </c>
      <c r="W20" s="109">
        <f t="shared" si="10"/>
      </c>
      <c r="X20" s="109">
        <f t="shared" si="10"/>
      </c>
      <c r="Y20" s="109">
        <f t="shared" si="10"/>
      </c>
      <c r="Z20" s="109">
        <f t="shared" si="10"/>
      </c>
      <c r="AA20" s="109">
        <f t="shared" si="10"/>
      </c>
      <c r="AB20" s="109">
        <f t="shared" si="10"/>
      </c>
      <c r="AC20" s="109">
        <f t="shared" si="10"/>
      </c>
      <c r="AD20" s="109">
        <f t="shared" si="10"/>
      </c>
      <c r="AE20" s="109">
        <f t="shared" si="10"/>
      </c>
      <c r="AF20" s="109">
        <f t="shared" si="10"/>
      </c>
      <c r="AG20" s="109">
        <f t="shared" si="10"/>
      </c>
      <c r="AH20" s="109">
        <f t="shared" si="10"/>
      </c>
      <c r="AI20" s="109">
        <f t="shared" si="10"/>
      </c>
      <c r="AJ20" s="109">
        <f t="shared" si="10"/>
      </c>
      <c r="AK20" s="109">
        <f t="shared" si="10"/>
      </c>
      <c r="AL20" s="109">
        <f t="shared" si="10"/>
      </c>
      <c r="AM20" s="109">
        <f aca="true" t="shared" si="11" ref="AM20:BE20">IF(AM45&gt;NmPc,"",EXP(GAMMALN(AM45+inva))/FACT(AM45))</f>
      </c>
      <c r="AN20" s="109">
        <f t="shared" si="11"/>
      </c>
      <c r="AO20" s="109">
        <f t="shared" si="11"/>
      </c>
      <c r="AP20" s="109">
        <f t="shared" si="11"/>
      </c>
      <c r="AQ20" s="109">
        <f t="shared" si="11"/>
      </c>
      <c r="AR20" s="109">
        <f t="shared" si="11"/>
      </c>
      <c r="AS20" s="109">
        <f t="shared" si="11"/>
      </c>
      <c r="AT20" s="109">
        <f t="shared" si="11"/>
      </c>
      <c r="AU20" s="109">
        <f t="shared" si="11"/>
      </c>
      <c r="AV20" s="109">
        <f t="shared" si="11"/>
      </c>
      <c r="AW20" s="109">
        <f t="shared" si="11"/>
      </c>
      <c r="AX20" s="109">
        <f t="shared" si="11"/>
      </c>
      <c r="AY20" s="109">
        <f t="shared" si="11"/>
      </c>
      <c r="AZ20" s="109">
        <f t="shared" si="11"/>
      </c>
      <c r="BA20" s="109">
        <f t="shared" si="11"/>
      </c>
      <c r="BB20" s="109">
        <f t="shared" si="11"/>
      </c>
      <c r="BC20" s="109">
        <f t="shared" si="11"/>
      </c>
      <c r="BD20" s="109">
        <f t="shared" si="11"/>
      </c>
      <c r="BE20" s="110">
        <f t="shared" si="11"/>
      </c>
      <c r="BG20" s="75" t="str">
        <f t="shared" si="6"/>
        <v>MENT</v>
      </c>
      <c r="BH20" s="75">
        <f t="shared" si="7"/>
        <v>8.767212</v>
      </c>
    </row>
    <row r="21" spans="2:60" ht="12.75" customHeight="1">
      <c r="B21" s="42"/>
      <c r="C21" s="13"/>
      <c r="D21" s="111" t="s">
        <v>13</v>
      </c>
      <c r="E21" s="205">
        <f>EXP(Nsbase)</f>
        <v>1.6020038270803036</v>
      </c>
      <c r="F21" s="112">
        <f>1-SUM(G21:BE21)</f>
        <v>0.000694038412410336</v>
      </c>
      <c r="G21" s="92">
        <f aca="true" t="shared" si="12" ref="G21:AL21">IF(G$14&gt;NmPc,"",nbt(inva,Enbase,G$14)*Constant*G$20)</f>
        <v>0.2977543406970707</v>
      </c>
      <c r="H21" s="92">
        <f t="shared" si="12"/>
        <v>0.27936153111594564</v>
      </c>
      <c r="I21" s="92">
        <f t="shared" si="12"/>
        <v>0.18892788245751663</v>
      </c>
      <c r="J21" s="92">
        <f t="shared" si="12"/>
        <v>0.11127284797396396</v>
      </c>
      <c r="K21" s="92">
        <f t="shared" si="12"/>
        <v>0.060678494776977024</v>
      </c>
      <c r="L21" s="92">
        <f t="shared" si="12"/>
        <v>0.03149931752553329</v>
      </c>
      <c r="M21" s="92">
        <f t="shared" si="12"/>
        <v>0.015801802540708603</v>
      </c>
      <c r="N21" s="92">
        <f t="shared" si="12"/>
        <v>0.007729955537431889</v>
      </c>
      <c r="O21" s="92">
        <f t="shared" si="12"/>
        <v>0.0037090394553476475</v>
      </c>
      <c r="P21" s="92">
        <f t="shared" si="12"/>
        <v>0.0017527085881168178</v>
      </c>
      <c r="Q21" s="92">
        <f t="shared" si="12"/>
        <v>0.0008180409189773809</v>
      </c>
      <c r="R21" s="92">
        <f t="shared" si="12"/>
      </c>
      <c r="S21" s="92">
        <f t="shared" si="12"/>
      </c>
      <c r="T21" s="92">
        <f t="shared" si="12"/>
      </c>
      <c r="U21" s="92">
        <f t="shared" si="12"/>
      </c>
      <c r="V21" s="92">
        <f t="shared" si="12"/>
      </c>
      <c r="W21" s="92">
        <f t="shared" si="12"/>
      </c>
      <c r="X21" s="92">
        <f t="shared" si="12"/>
      </c>
      <c r="Y21" s="92">
        <f t="shared" si="12"/>
      </c>
      <c r="Z21" s="92">
        <f t="shared" si="12"/>
      </c>
      <c r="AA21" s="92">
        <f t="shared" si="12"/>
      </c>
      <c r="AB21" s="92">
        <f t="shared" si="12"/>
      </c>
      <c r="AC21" s="92">
        <f t="shared" si="12"/>
      </c>
      <c r="AD21" s="92">
        <f t="shared" si="12"/>
      </c>
      <c r="AE21" s="92">
        <f t="shared" si="12"/>
      </c>
      <c r="AF21" s="92">
        <f t="shared" si="12"/>
      </c>
      <c r="AG21" s="92">
        <f t="shared" si="12"/>
      </c>
      <c r="AH21" s="92">
        <f t="shared" si="12"/>
      </c>
      <c r="AI21" s="92">
        <f t="shared" si="12"/>
      </c>
      <c r="AJ21" s="92">
        <f t="shared" si="12"/>
      </c>
      <c r="AK21" s="92">
        <f t="shared" si="12"/>
      </c>
      <c r="AL21" s="92">
        <f t="shared" si="12"/>
      </c>
      <c r="AM21" s="92">
        <f aca="true" t="shared" si="13" ref="AM21:BE21">IF(AM$14&gt;NmPc,"",nbt(inva,Enbase,AM$14)*Constant*AM$20)</f>
      </c>
      <c r="AN21" s="92">
        <f t="shared" si="13"/>
      </c>
      <c r="AO21" s="92">
        <f t="shared" si="13"/>
      </c>
      <c r="AP21" s="92">
        <f t="shared" si="13"/>
      </c>
      <c r="AQ21" s="92">
        <f t="shared" si="13"/>
      </c>
      <c r="AR21" s="92">
        <f t="shared" si="13"/>
      </c>
      <c r="AS21" s="92">
        <f t="shared" si="13"/>
      </c>
      <c r="AT21" s="92">
        <f t="shared" si="13"/>
      </c>
      <c r="AU21" s="92">
        <f t="shared" si="13"/>
      </c>
      <c r="AV21" s="92">
        <f t="shared" si="13"/>
      </c>
      <c r="AW21" s="92">
        <f t="shared" si="13"/>
      </c>
      <c r="AX21" s="92">
        <f t="shared" si="13"/>
      </c>
      <c r="AY21" s="92">
        <f t="shared" si="13"/>
      </c>
      <c r="AZ21" s="92">
        <f t="shared" si="13"/>
      </c>
      <c r="BA21" s="92">
        <f t="shared" si="13"/>
      </c>
      <c r="BB21" s="92">
        <f t="shared" si="13"/>
      </c>
      <c r="BC21" s="92">
        <f t="shared" si="13"/>
      </c>
      <c r="BD21" s="92">
        <f t="shared" si="13"/>
      </c>
      <c r="BE21" s="105">
        <f t="shared" si="13"/>
      </c>
      <c r="BG21" s="75" t="str">
        <f t="shared" si="6"/>
        <v>---</v>
      </c>
      <c r="BH21" s="75" t="str">
        <f t="shared" si="7"/>
        <v>---</v>
      </c>
    </row>
    <row r="22" spans="2:60" ht="12.75" customHeight="1">
      <c r="B22" s="151" t="s">
        <v>127</v>
      </c>
      <c r="C22" s="95"/>
      <c r="D22" s="96" t="s">
        <v>1</v>
      </c>
      <c r="E22" s="202">
        <f>EXP(Nsmn)</f>
        <v>1.6020038270803036</v>
      </c>
      <c r="F22" s="97">
        <f>1-SUM(G22:BE22)</f>
        <v>0.000694038412410336</v>
      </c>
      <c r="G22" s="92">
        <f aca="true" t="shared" si="14" ref="G22:AL22">IF(G$14&gt;NmPc,"",nbt(inva,Enmn,G$14)*Constant*G$20)</f>
        <v>0.2977543406970707</v>
      </c>
      <c r="H22" s="92">
        <f t="shared" si="14"/>
        <v>0.27936153111594564</v>
      </c>
      <c r="I22" s="92">
        <f t="shared" si="14"/>
        <v>0.18892788245751663</v>
      </c>
      <c r="J22" s="92">
        <f t="shared" si="14"/>
        <v>0.11127284797396396</v>
      </c>
      <c r="K22" s="92">
        <f t="shared" si="14"/>
        <v>0.060678494776977024</v>
      </c>
      <c r="L22" s="92">
        <f t="shared" si="14"/>
        <v>0.03149931752553329</v>
      </c>
      <c r="M22" s="92">
        <f t="shared" si="14"/>
        <v>0.015801802540708603</v>
      </c>
      <c r="N22" s="92">
        <f t="shared" si="14"/>
        <v>0.007729955537431889</v>
      </c>
      <c r="O22" s="92">
        <f t="shared" si="14"/>
        <v>0.0037090394553476475</v>
      </c>
      <c r="P22" s="92">
        <f t="shared" si="14"/>
        <v>0.0017527085881168178</v>
      </c>
      <c r="Q22" s="92">
        <f t="shared" si="14"/>
        <v>0.0008180409189773809</v>
      </c>
      <c r="R22" s="92">
        <f t="shared" si="14"/>
      </c>
      <c r="S22" s="92">
        <f t="shared" si="14"/>
      </c>
      <c r="T22" s="92">
        <f t="shared" si="14"/>
      </c>
      <c r="U22" s="92">
        <f t="shared" si="14"/>
      </c>
      <c r="V22" s="92">
        <f t="shared" si="14"/>
      </c>
      <c r="W22" s="92">
        <f t="shared" si="14"/>
      </c>
      <c r="X22" s="92">
        <f t="shared" si="14"/>
      </c>
      <c r="Y22" s="92">
        <f t="shared" si="14"/>
      </c>
      <c r="Z22" s="92">
        <f t="shared" si="14"/>
      </c>
      <c r="AA22" s="92">
        <f t="shared" si="14"/>
      </c>
      <c r="AB22" s="92">
        <f t="shared" si="14"/>
      </c>
      <c r="AC22" s="92">
        <f t="shared" si="14"/>
      </c>
      <c r="AD22" s="92">
        <f t="shared" si="14"/>
      </c>
      <c r="AE22" s="92">
        <f t="shared" si="14"/>
      </c>
      <c r="AF22" s="92">
        <f t="shared" si="14"/>
      </c>
      <c r="AG22" s="92">
        <f t="shared" si="14"/>
      </c>
      <c r="AH22" s="92">
        <f t="shared" si="14"/>
      </c>
      <c r="AI22" s="92">
        <f t="shared" si="14"/>
      </c>
      <c r="AJ22" s="92">
        <f t="shared" si="14"/>
      </c>
      <c r="AK22" s="92">
        <f t="shared" si="14"/>
      </c>
      <c r="AL22" s="92">
        <f t="shared" si="14"/>
      </c>
      <c r="AM22" s="92">
        <f aca="true" t="shared" si="15" ref="AM22:BE22">IF(AM$14&gt;NmPc,"",nbt(inva,Enmn,AM$14)*Constant*AM$20)</f>
      </c>
      <c r="AN22" s="92">
        <f t="shared" si="15"/>
      </c>
      <c r="AO22" s="92">
        <f t="shared" si="15"/>
      </c>
      <c r="AP22" s="92">
        <f t="shared" si="15"/>
      </c>
      <c r="AQ22" s="92">
        <f t="shared" si="15"/>
      </c>
      <c r="AR22" s="92">
        <f t="shared" si="15"/>
      </c>
      <c r="AS22" s="92">
        <f t="shared" si="15"/>
      </c>
      <c r="AT22" s="92">
        <f t="shared" si="15"/>
      </c>
      <c r="AU22" s="92">
        <f t="shared" si="15"/>
      </c>
      <c r="AV22" s="92">
        <f t="shared" si="15"/>
      </c>
      <c r="AW22" s="92">
        <f t="shared" si="15"/>
      </c>
      <c r="AX22" s="92">
        <f t="shared" si="15"/>
      </c>
      <c r="AY22" s="92">
        <f t="shared" si="15"/>
      </c>
      <c r="AZ22" s="92">
        <f t="shared" si="15"/>
      </c>
      <c r="BA22" s="92">
        <f t="shared" si="15"/>
      </c>
      <c r="BB22" s="92">
        <f t="shared" si="15"/>
      </c>
      <c r="BC22" s="92">
        <f t="shared" si="15"/>
      </c>
      <c r="BD22" s="92">
        <f t="shared" si="15"/>
      </c>
      <c r="BE22" s="99">
        <f t="shared" si="15"/>
      </c>
      <c r="BG22" s="75" t="str">
        <f t="shared" si="6"/>
        <v>---</v>
      </c>
      <c r="BH22" s="75" t="str">
        <f t="shared" si="7"/>
        <v>---</v>
      </c>
    </row>
    <row r="23" spans="2:60" ht="12.75" customHeight="1">
      <c r="B23" s="42"/>
      <c r="C23" s="152" t="s">
        <v>126</v>
      </c>
      <c r="D23" s="96" t="s">
        <v>19</v>
      </c>
      <c r="E23" s="202">
        <f>EXP(Nsmin)</f>
        <v>1.3069206954208665</v>
      </c>
      <c r="F23" s="97">
        <f>1-SUM(G23:BE23)</f>
        <v>0.00019318069358187362</v>
      </c>
      <c r="G23" s="92">
        <f aca="true" t="shared" si="16" ref="G23:AL23">IF(G$14&gt;NmPc,"",nbt(inva,Enmin,G$14)*Constant*G$20)</f>
        <v>0.3563942895653102</v>
      </c>
      <c r="H23" s="92">
        <f t="shared" si="16"/>
        <v>0.29532716740158266</v>
      </c>
      <c r="I23" s="92">
        <f t="shared" si="16"/>
        <v>0.17639936473627765</v>
      </c>
      <c r="J23" s="92">
        <f t="shared" si="16"/>
        <v>0.0917601945758677</v>
      </c>
      <c r="K23" s="92">
        <f t="shared" si="16"/>
        <v>0.044194078543235454</v>
      </c>
      <c r="L23" s="92">
        <f t="shared" si="16"/>
        <v>0.020262572922147955</v>
      </c>
      <c r="M23" s="92">
        <f t="shared" si="16"/>
        <v>0.008977682437161114</v>
      </c>
      <c r="N23" s="92">
        <f t="shared" si="16"/>
        <v>0.0038788123239744056</v>
      </c>
      <c r="O23" s="92">
        <f t="shared" si="16"/>
        <v>0.001643793982829863</v>
      </c>
      <c r="P23" s="92">
        <f t="shared" si="16"/>
        <v>0.0006860563841348881</v>
      </c>
      <c r="Q23" s="92">
        <f t="shared" si="16"/>
        <v>0.00028280643389619467</v>
      </c>
      <c r="R23" s="92">
        <f t="shared" si="16"/>
      </c>
      <c r="S23" s="92">
        <f t="shared" si="16"/>
      </c>
      <c r="T23" s="92">
        <f t="shared" si="16"/>
      </c>
      <c r="U23" s="92">
        <f t="shared" si="16"/>
      </c>
      <c r="V23" s="92">
        <f t="shared" si="16"/>
      </c>
      <c r="W23" s="92">
        <f t="shared" si="16"/>
      </c>
      <c r="X23" s="92">
        <f t="shared" si="16"/>
      </c>
      <c r="Y23" s="92">
        <f t="shared" si="16"/>
      </c>
      <c r="Z23" s="92">
        <f t="shared" si="16"/>
      </c>
      <c r="AA23" s="92">
        <f t="shared" si="16"/>
      </c>
      <c r="AB23" s="92">
        <f t="shared" si="16"/>
      </c>
      <c r="AC23" s="92">
        <f t="shared" si="16"/>
      </c>
      <c r="AD23" s="92">
        <f t="shared" si="16"/>
      </c>
      <c r="AE23" s="92">
        <f t="shared" si="16"/>
      </c>
      <c r="AF23" s="92">
        <f t="shared" si="16"/>
      </c>
      <c r="AG23" s="92">
        <f t="shared" si="16"/>
      </c>
      <c r="AH23" s="92">
        <f t="shared" si="16"/>
      </c>
      <c r="AI23" s="92">
        <f t="shared" si="16"/>
      </c>
      <c r="AJ23" s="92">
        <f t="shared" si="16"/>
      </c>
      <c r="AK23" s="92">
        <f t="shared" si="16"/>
      </c>
      <c r="AL23" s="92">
        <f t="shared" si="16"/>
      </c>
      <c r="AM23" s="92">
        <f aca="true" t="shared" si="17" ref="AM23:BE23">IF(AM$14&gt;NmPc,"",nbt(inva,Enmin,AM$14)*Constant*AM$20)</f>
      </c>
      <c r="AN23" s="92">
        <f t="shared" si="17"/>
      </c>
      <c r="AO23" s="92">
        <f t="shared" si="17"/>
      </c>
      <c r="AP23" s="92">
        <f t="shared" si="17"/>
      </c>
      <c r="AQ23" s="92">
        <f t="shared" si="17"/>
      </c>
      <c r="AR23" s="92">
        <f t="shared" si="17"/>
      </c>
      <c r="AS23" s="92">
        <f t="shared" si="17"/>
      </c>
      <c r="AT23" s="92">
        <f t="shared" si="17"/>
      </c>
      <c r="AU23" s="92">
        <f t="shared" si="17"/>
      </c>
      <c r="AV23" s="92">
        <f t="shared" si="17"/>
      </c>
      <c r="AW23" s="92">
        <f t="shared" si="17"/>
      </c>
      <c r="AX23" s="92">
        <f t="shared" si="17"/>
      </c>
      <c r="AY23" s="92">
        <f t="shared" si="17"/>
      </c>
      <c r="AZ23" s="92">
        <f t="shared" si="17"/>
      </c>
      <c r="BA23" s="92">
        <f t="shared" si="17"/>
      </c>
      <c r="BB23" s="92">
        <f t="shared" si="17"/>
      </c>
      <c r="BC23" s="92">
        <f t="shared" si="17"/>
      </c>
      <c r="BD23" s="92">
        <f t="shared" si="17"/>
      </c>
      <c r="BE23" s="99">
        <f t="shared" si="17"/>
      </c>
      <c r="BG23" s="75" t="str">
        <f t="shared" si="6"/>
        <v>---</v>
      </c>
      <c r="BH23" s="75" t="str">
        <f t="shared" si="7"/>
        <v>---</v>
      </c>
    </row>
    <row r="24" spans="2:60" ht="12.75" customHeight="1">
      <c r="B24" s="88"/>
      <c r="C24" s="113"/>
      <c r="D24" s="114" t="s">
        <v>20</v>
      </c>
      <c r="E24" s="206">
        <f>EXP(Nsmax)</f>
        <v>7.176838475581474</v>
      </c>
      <c r="F24" s="115">
        <f>1-SUM(G24:BE24)</f>
        <v>0.22374406049881002</v>
      </c>
      <c r="G24" s="116">
        <f aca="true" t="shared" si="18" ref="G24:AL24">IF(G$14&gt;NmPc,"",nbt(inva,Enmax,G$14)*Constant*G$20)</f>
        <v>0.039437002225598296</v>
      </c>
      <c r="H24" s="117">
        <f t="shared" si="18"/>
        <v>0.06788275237901077</v>
      </c>
      <c r="I24" s="117">
        <f t="shared" si="18"/>
        <v>0.08422401578537836</v>
      </c>
      <c r="J24" s="117">
        <f t="shared" si="18"/>
        <v>0.09100728085061341</v>
      </c>
      <c r="K24" s="117">
        <f t="shared" si="18"/>
        <v>0.09104765837480487</v>
      </c>
      <c r="L24" s="117">
        <f t="shared" si="18"/>
        <v>0.08671259300074168</v>
      </c>
      <c r="M24" s="117">
        <f t="shared" si="18"/>
        <v>0.0798058461489835</v>
      </c>
      <c r="N24" s="117">
        <f t="shared" si="18"/>
        <v>0.07162293586301145</v>
      </c>
      <c r="O24" s="117">
        <f t="shared" si="18"/>
        <v>0.063049786954861</v>
      </c>
      <c r="P24" s="117">
        <f t="shared" si="18"/>
        <v>0.054661171085086314</v>
      </c>
      <c r="Q24" s="117">
        <f t="shared" si="18"/>
        <v>0.04680489683310031</v>
      </c>
      <c r="R24" s="117">
        <f t="shared" si="18"/>
      </c>
      <c r="S24" s="117">
        <f t="shared" si="18"/>
      </c>
      <c r="T24" s="117">
        <f t="shared" si="18"/>
      </c>
      <c r="U24" s="117">
        <f t="shared" si="18"/>
      </c>
      <c r="V24" s="117">
        <f t="shared" si="18"/>
      </c>
      <c r="W24" s="117">
        <f t="shared" si="18"/>
      </c>
      <c r="X24" s="117">
        <f t="shared" si="18"/>
      </c>
      <c r="Y24" s="117">
        <f t="shared" si="18"/>
      </c>
      <c r="Z24" s="117">
        <f t="shared" si="18"/>
      </c>
      <c r="AA24" s="117">
        <f t="shared" si="18"/>
      </c>
      <c r="AB24" s="117">
        <f t="shared" si="18"/>
      </c>
      <c r="AC24" s="117">
        <f t="shared" si="18"/>
      </c>
      <c r="AD24" s="117">
        <f t="shared" si="18"/>
      </c>
      <c r="AE24" s="117">
        <f t="shared" si="18"/>
      </c>
      <c r="AF24" s="117">
        <f t="shared" si="18"/>
      </c>
      <c r="AG24" s="117">
        <f t="shared" si="18"/>
      </c>
      <c r="AH24" s="117">
        <f t="shared" si="18"/>
      </c>
      <c r="AI24" s="117">
        <f t="shared" si="18"/>
      </c>
      <c r="AJ24" s="117">
        <f t="shared" si="18"/>
      </c>
      <c r="AK24" s="117">
        <f t="shared" si="18"/>
      </c>
      <c r="AL24" s="117">
        <f t="shared" si="18"/>
      </c>
      <c r="AM24" s="117">
        <f aca="true" t="shared" si="19" ref="AM24:BE24">IF(AM$14&gt;NmPc,"",nbt(inva,Enmax,AM$14)*Constant*AM$20)</f>
      </c>
      <c r="AN24" s="117">
        <f t="shared" si="19"/>
      </c>
      <c r="AO24" s="117">
        <f t="shared" si="19"/>
      </c>
      <c r="AP24" s="117">
        <f t="shared" si="19"/>
      </c>
      <c r="AQ24" s="117">
        <f t="shared" si="19"/>
      </c>
      <c r="AR24" s="117">
        <f t="shared" si="19"/>
      </c>
      <c r="AS24" s="117">
        <f t="shared" si="19"/>
      </c>
      <c r="AT24" s="117">
        <f t="shared" si="19"/>
      </c>
      <c r="AU24" s="117">
        <f t="shared" si="19"/>
      </c>
      <c r="AV24" s="117">
        <f t="shared" si="19"/>
      </c>
      <c r="AW24" s="117">
        <f t="shared" si="19"/>
      </c>
      <c r="AX24" s="117">
        <f t="shared" si="19"/>
      </c>
      <c r="AY24" s="117">
        <f t="shared" si="19"/>
      </c>
      <c r="AZ24" s="117">
        <f t="shared" si="19"/>
      </c>
      <c r="BA24" s="117">
        <f t="shared" si="19"/>
      </c>
      <c r="BB24" s="117">
        <f t="shared" si="19"/>
      </c>
      <c r="BC24" s="117">
        <f t="shared" si="19"/>
      </c>
      <c r="BD24" s="117">
        <f t="shared" si="19"/>
      </c>
      <c r="BE24" s="118">
        <f t="shared" si="19"/>
      </c>
      <c r="BG24" s="75" t="str">
        <f t="shared" si="6"/>
        <v>---</v>
      </c>
      <c r="BH24" s="75" t="str">
        <f t="shared" si="7"/>
        <v>---</v>
      </c>
    </row>
    <row r="25" spans="2:60" ht="18" customHeight="1">
      <c r="B25" s="42"/>
      <c r="C25" s="119" t="s">
        <v>54</v>
      </c>
      <c r="D25" s="13"/>
      <c r="E25" s="13"/>
      <c r="F25" s="120"/>
      <c r="G25" s="121"/>
      <c r="H25" s="121"/>
      <c r="I25" s="121"/>
      <c r="J25" s="121"/>
      <c r="K25" s="121"/>
      <c r="L25" s="121"/>
      <c r="M25" s="121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9"/>
      <c r="BG25" s="75" t="str">
        <f t="shared" si="6"/>
        <v>---</v>
      </c>
      <c r="BH25" s="75" t="str">
        <f t="shared" si="7"/>
        <v>---</v>
      </c>
    </row>
    <row r="26" spans="2:60" ht="12.75" customHeight="1">
      <c r="B26" s="42"/>
      <c r="C26" s="95"/>
      <c r="D26" s="122" t="s">
        <v>51</v>
      </c>
      <c r="E26" s="122"/>
      <c r="F26" s="13"/>
      <c r="G26" s="13"/>
      <c r="H26" s="13"/>
      <c r="I26" s="13"/>
      <c r="J26" s="13"/>
      <c r="K26" s="13"/>
      <c r="L26" s="13"/>
      <c r="M26" s="2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9"/>
      <c r="BG26" s="75" t="str">
        <f t="shared" si="6"/>
        <v>---</v>
      </c>
      <c r="BH26" s="75" t="str">
        <f t="shared" si="7"/>
        <v>---</v>
      </c>
    </row>
    <row r="27" spans="2:62" ht="18" customHeight="1">
      <c r="B27" s="42"/>
      <c r="C27" s="2"/>
      <c r="D27" s="84"/>
      <c r="E27" s="180" t="s">
        <v>133</v>
      </c>
      <c r="F27" s="19"/>
      <c r="G27" s="123" t="s">
        <v>52</v>
      </c>
      <c r="H27" s="124"/>
      <c r="I27" s="124"/>
      <c r="J27" s="125"/>
      <c r="K27" s="124"/>
      <c r="L27" s="124"/>
      <c r="M27" s="124"/>
      <c r="N27" s="126"/>
      <c r="O27" s="126"/>
      <c r="P27" s="124"/>
      <c r="Q27" s="124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7"/>
      <c r="BG27" s="75" t="str">
        <f t="shared" si="6"/>
        <v>---</v>
      </c>
      <c r="BH27" s="75" t="str">
        <f t="shared" si="7"/>
        <v>---</v>
      </c>
      <c r="BJ27" s="13"/>
    </row>
    <row r="28" spans="2:62" ht="12.75" customHeight="1">
      <c r="B28" s="88"/>
      <c r="C28" s="89" t="s">
        <v>36</v>
      </c>
      <c r="D28" s="56"/>
      <c r="E28" s="180" t="s">
        <v>134</v>
      </c>
      <c r="F28" s="90" t="s">
        <v>53</v>
      </c>
      <c r="G28" s="128">
        <v>0</v>
      </c>
      <c r="H28" s="129">
        <v>1</v>
      </c>
      <c r="I28" s="129">
        <v>2</v>
      </c>
      <c r="J28" s="129">
        <v>3</v>
      </c>
      <c r="K28" s="129">
        <v>4</v>
      </c>
      <c r="L28" s="129">
        <v>5</v>
      </c>
      <c r="M28" s="129">
        <v>6</v>
      </c>
      <c r="N28" s="129">
        <v>7</v>
      </c>
      <c r="O28" s="129">
        <v>8</v>
      </c>
      <c r="P28" s="129">
        <v>9</v>
      </c>
      <c r="Q28" s="129">
        <v>10</v>
      </c>
      <c r="R28" s="129">
        <v>11</v>
      </c>
      <c r="S28" s="129">
        <v>12</v>
      </c>
      <c r="T28" s="129">
        <v>13</v>
      </c>
      <c r="U28" s="129">
        <v>14</v>
      </c>
      <c r="V28" s="129">
        <v>15</v>
      </c>
      <c r="W28" s="129">
        <v>16</v>
      </c>
      <c r="X28" s="129">
        <v>17</v>
      </c>
      <c r="Y28" s="129">
        <v>18</v>
      </c>
      <c r="Z28" s="129">
        <v>19</v>
      </c>
      <c r="AA28" s="129">
        <v>20</v>
      </c>
      <c r="AB28" s="129">
        <v>21</v>
      </c>
      <c r="AC28" s="129">
        <v>22</v>
      </c>
      <c r="AD28" s="129">
        <v>23</v>
      </c>
      <c r="AE28" s="129">
        <v>24</v>
      </c>
      <c r="AF28" s="129">
        <v>25</v>
      </c>
      <c r="AG28" s="129">
        <v>26</v>
      </c>
      <c r="AH28" s="129">
        <v>27</v>
      </c>
      <c r="AI28" s="129">
        <v>28</v>
      </c>
      <c r="AJ28" s="129">
        <v>29</v>
      </c>
      <c r="AK28" s="129">
        <v>30</v>
      </c>
      <c r="AL28" s="129">
        <v>31</v>
      </c>
      <c r="AM28" s="129">
        <v>32</v>
      </c>
      <c r="AN28" s="129">
        <v>33</v>
      </c>
      <c r="AO28" s="129">
        <v>34</v>
      </c>
      <c r="AP28" s="129">
        <v>35</v>
      </c>
      <c r="AQ28" s="129">
        <v>36</v>
      </c>
      <c r="AR28" s="129">
        <v>37</v>
      </c>
      <c r="AS28" s="129">
        <v>38</v>
      </c>
      <c r="AT28" s="129">
        <v>39</v>
      </c>
      <c r="AU28" s="129">
        <v>40</v>
      </c>
      <c r="AV28" s="129">
        <v>41</v>
      </c>
      <c r="AW28" s="129">
        <v>42</v>
      </c>
      <c r="AX28" s="129">
        <v>43</v>
      </c>
      <c r="AY28" s="129">
        <v>44</v>
      </c>
      <c r="AZ28" s="129">
        <v>45</v>
      </c>
      <c r="BA28" s="129">
        <v>46</v>
      </c>
      <c r="BB28" s="129">
        <v>47</v>
      </c>
      <c r="BC28" s="129">
        <v>48</v>
      </c>
      <c r="BD28" s="129">
        <v>49</v>
      </c>
      <c r="BE28" s="130">
        <v>50</v>
      </c>
      <c r="BG28" s="75" t="str">
        <f t="shared" si="6"/>
        <v>---</v>
      </c>
      <c r="BH28" s="75" t="str">
        <f t="shared" si="7"/>
        <v>---</v>
      </c>
      <c r="BJ28" s="13"/>
    </row>
    <row r="29" spans="2:60" ht="12.75" customHeight="1">
      <c r="B29" s="42"/>
      <c r="C29" s="13"/>
      <c r="D29" s="175">
        <v>0</v>
      </c>
      <c r="E29" s="197">
        <f>IF(D29="","",Tech!C29)</f>
        <v>1.5472853866541778</v>
      </c>
      <c r="F29" s="186">
        <f>IF(D29="","",1-SUM(G29:BE29))</f>
        <v>7.436919566838895E-07</v>
      </c>
      <c r="G29" s="131">
        <f aca="true" t="shared" si="20" ref="G29:G34">IF(OR(G$14&gt;NmPc,ChV=""),"",POISSON(G$14,+Expps,FALSE))</f>
        <v>0.21282492775823425</v>
      </c>
      <c r="H29" s="132">
        <f aca="true" t="shared" si="21" ref="H29:W34">IF(OR(H$14&gt;NmPc,ChV=""),"",POISSON(H$14,+Expps,FALSE))</f>
        <v>0.32930090063604694</v>
      </c>
      <c r="I29" s="132">
        <f t="shared" si="21"/>
        <v>0.25476123568310743</v>
      </c>
      <c r="J29" s="132">
        <f t="shared" si="21"/>
        <v>0.13139611235281098</v>
      </c>
      <c r="K29" s="132">
        <f t="shared" si="21"/>
        <v>0.05082682112666874</v>
      </c>
      <c r="L29" s="132">
        <f t="shared" si="21"/>
        <v>0.015728719515876073</v>
      </c>
      <c r="M29" s="132">
        <f t="shared" si="21"/>
        <v>0.004056136309616237</v>
      </c>
      <c r="N29" s="132">
        <f t="shared" si="21"/>
        <v>0.0008965714911638017</v>
      </c>
      <c r="O29" s="132">
        <f t="shared" si="21"/>
        <v>0.0001734064957960619</v>
      </c>
      <c r="P29" s="132">
        <f t="shared" si="21"/>
        <v>2.981214854401729E-05</v>
      </c>
      <c r="Q29" s="132">
        <f t="shared" si="21"/>
        <v>4.612790178692157E-06</v>
      </c>
      <c r="R29" s="132">
        <f t="shared" si="21"/>
      </c>
      <c r="S29" s="132">
        <f t="shared" si="21"/>
      </c>
      <c r="T29" s="132">
        <f t="shared" si="21"/>
      </c>
      <c r="U29" s="132">
        <f t="shared" si="21"/>
      </c>
      <c r="V29" s="132">
        <f t="shared" si="21"/>
      </c>
      <c r="W29" s="132">
        <f t="shared" si="21"/>
      </c>
      <c r="X29" s="132">
        <f aca="true" t="shared" si="22" ref="X29:AM34">IF(OR(X$14&gt;NmPc,ChV=""),"",POISSON(X$14,+Expps,FALSE))</f>
      </c>
      <c r="Y29" s="132">
        <f t="shared" si="22"/>
      </c>
      <c r="Z29" s="132">
        <f t="shared" si="22"/>
      </c>
      <c r="AA29" s="132">
        <f t="shared" si="22"/>
      </c>
      <c r="AB29" s="132">
        <f t="shared" si="22"/>
      </c>
      <c r="AC29" s="132">
        <f t="shared" si="22"/>
      </c>
      <c r="AD29" s="132">
        <f t="shared" si="22"/>
      </c>
      <c r="AE29" s="132">
        <f t="shared" si="22"/>
      </c>
      <c r="AF29" s="132">
        <f t="shared" si="22"/>
      </c>
      <c r="AG29" s="132">
        <f t="shared" si="22"/>
      </c>
      <c r="AH29" s="132">
        <f t="shared" si="22"/>
      </c>
      <c r="AI29" s="132">
        <f t="shared" si="22"/>
      </c>
      <c r="AJ29" s="132">
        <f t="shared" si="22"/>
      </c>
      <c r="AK29" s="132">
        <f t="shared" si="22"/>
      </c>
      <c r="AL29" s="132">
        <f t="shared" si="22"/>
      </c>
      <c r="AM29" s="132">
        <f t="shared" si="22"/>
      </c>
      <c r="AN29" s="132">
        <f aca="true" t="shared" si="23" ref="AN29:BC34">IF(OR(AN$14&gt;NmPc,ChV=""),"",POISSON(AN$14,+Expps,FALSE))</f>
      </c>
      <c r="AO29" s="132">
        <f t="shared" si="23"/>
      </c>
      <c r="AP29" s="132">
        <f t="shared" si="23"/>
      </c>
      <c r="AQ29" s="132">
        <f t="shared" si="23"/>
      </c>
      <c r="AR29" s="132">
        <f t="shared" si="23"/>
      </c>
      <c r="AS29" s="132">
        <f t="shared" si="23"/>
      </c>
      <c r="AT29" s="132">
        <f t="shared" si="23"/>
      </c>
      <c r="AU29" s="132">
        <f t="shared" si="23"/>
      </c>
      <c r="AV29" s="132">
        <f t="shared" si="23"/>
      </c>
      <c r="AW29" s="132">
        <f t="shared" si="23"/>
      </c>
      <c r="AX29" s="132">
        <f t="shared" si="23"/>
      </c>
      <c r="AY29" s="132">
        <f t="shared" si="23"/>
      </c>
      <c r="AZ29" s="132">
        <f t="shared" si="23"/>
      </c>
      <c r="BA29" s="132">
        <f t="shared" si="23"/>
      </c>
      <c r="BB29" s="132">
        <f t="shared" si="23"/>
      </c>
      <c r="BC29" s="132">
        <f t="shared" si="23"/>
      </c>
      <c r="BD29" s="132">
        <f aca="true" t="shared" si="24" ref="BD29:BE34">IF(OR(BD$14&gt;NmPc,ChV=""),"",POISSON(BD$14,+Expps,FALSE))</f>
      </c>
      <c r="BE29" s="93">
        <f t="shared" si="24"/>
      </c>
      <c r="BG29" s="75" t="str">
        <f t="shared" si="6"/>
        <v>---</v>
      </c>
      <c r="BH29" s="75" t="str">
        <f t="shared" si="7"/>
        <v>---</v>
      </c>
    </row>
    <row r="30" spans="2:60" ht="12.75" customHeight="1">
      <c r="B30" s="42"/>
      <c r="C30" s="13"/>
      <c r="D30" s="176">
        <v>1</v>
      </c>
      <c r="E30" s="198">
        <f>IF(D30="","",Tech!C30)</f>
        <v>1.5672533552983032</v>
      </c>
      <c r="F30" s="187">
        <f aca="true" t="shared" si="25" ref="F30:F43">IF(D30="","",1-SUM(G30:BE30))</f>
        <v>8.409839424849963E-07</v>
      </c>
      <c r="G30" s="133">
        <f t="shared" si="20"/>
        <v>0.20861739402619653</v>
      </c>
      <c r="H30" s="98">
        <f t="shared" si="21"/>
        <v>0.32695631076114473</v>
      </c>
      <c r="I30" s="98">
        <f t="shared" si="21"/>
        <v>0.25621168753817936</v>
      </c>
      <c r="J30" s="98">
        <f t="shared" si="21"/>
        <v>0.133849542320284</v>
      </c>
      <c r="K30" s="98">
        <f t="shared" si="21"/>
        <v>0.052444036076651844</v>
      </c>
      <c r="L30" s="98">
        <f t="shared" si="21"/>
        <v>0.016438618301303574</v>
      </c>
      <c r="M30" s="98">
        <f t="shared" si="21"/>
        <v>0.004293913281531019</v>
      </c>
      <c r="N30" s="98">
        <f t="shared" si="21"/>
        <v>0.0009613785711199196</v>
      </c>
      <c r="O30" s="98">
        <f t="shared" si="21"/>
        <v>0.00018834047391244786</v>
      </c>
      <c r="P30" s="98">
        <f t="shared" si="21"/>
        <v>3.279747107530626E-05</v>
      </c>
      <c r="Q30" s="98">
        <f t="shared" si="21"/>
        <v>5.14019465880728E-06</v>
      </c>
      <c r="R30" s="98">
        <f t="shared" si="21"/>
      </c>
      <c r="S30" s="98">
        <f t="shared" si="21"/>
      </c>
      <c r="T30" s="98">
        <f t="shared" si="21"/>
      </c>
      <c r="U30" s="98">
        <f t="shared" si="21"/>
      </c>
      <c r="V30" s="98">
        <f t="shared" si="21"/>
      </c>
      <c r="W30" s="98">
        <f t="shared" si="21"/>
      </c>
      <c r="X30" s="98">
        <f t="shared" si="22"/>
      </c>
      <c r="Y30" s="98">
        <f t="shared" si="22"/>
      </c>
      <c r="Z30" s="98">
        <f t="shared" si="22"/>
      </c>
      <c r="AA30" s="98">
        <f t="shared" si="22"/>
      </c>
      <c r="AB30" s="98">
        <f t="shared" si="22"/>
      </c>
      <c r="AC30" s="98">
        <f t="shared" si="22"/>
      </c>
      <c r="AD30" s="98">
        <f t="shared" si="22"/>
      </c>
      <c r="AE30" s="98">
        <f t="shared" si="22"/>
      </c>
      <c r="AF30" s="98">
        <f t="shared" si="22"/>
      </c>
      <c r="AG30" s="98">
        <f t="shared" si="22"/>
      </c>
      <c r="AH30" s="98">
        <f t="shared" si="22"/>
      </c>
      <c r="AI30" s="98">
        <f t="shared" si="22"/>
      </c>
      <c r="AJ30" s="98">
        <f t="shared" si="22"/>
      </c>
      <c r="AK30" s="98">
        <f t="shared" si="22"/>
      </c>
      <c r="AL30" s="98">
        <f t="shared" si="22"/>
      </c>
      <c r="AM30" s="98">
        <f t="shared" si="22"/>
      </c>
      <c r="AN30" s="98">
        <f t="shared" si="23"/>
      </c>
      <c r="AO30" s="98">
        <f t="shared" si="23"/>
      </c>
      <c r="AP30" s="98">
        <f t="shared" si="23"/>
      </c>
      <c r="AQ30" s="98">
        <f t="shared" si="23"/>
      </c>
      <c r="AR30" s="98">
        <f t="shared" si="23"/>
      </c>
      <c r="AS30" s="98">
        <f t="shared" si="23"/>
      </c>
      <c r="AT30" s="98">
        <f t="shared" si="23"/>
      </c>
      <c r="AU30" s="98">
        <f t="shared" si="23"/>
      </c>
      <c r="AV30" s="98">
        <f t="shared" si="23"/>
      </c>
      <c r="AW30" s="98">
        <f t="shared" si="23"/>
      </c>
      <c r="AX30" s="98">
        <f t="shared" si="23"/>
      </c>
      <c r="AY30" s="98">
        <f t="shared" si="23"/>
      </c>
      <c r="AZ30" s="98">
        <f t="shared" si="23"/>
      </c>
      <c r="BA30" s="98">
        <f t="shared" si="23"/>
      </c>
      <c r="BB30" s="98">
        <f t="shared" si="23"/>
      </c>
      <c r="BC30" s="98">
        <f t="shared" si="23"/>
      </c>
      <c r="BD30" s="98">
        <f t="shared" si="24"/>
      </c>
      <c r="BE30" s="99">
        <f t="shared" si="24"/>
      </c>
      <c r="BG30" s="75" t="str">
        <f t="shared" si="6"/>
        <v>---</v>
      </c>
      <c r="BH30" s="75" t="str">
        <f t="shared" si="7"/>
        <v>---</v>
      </c>
    </row>
    <row r="31" spans="2:60" ht="12.75" customHeight="1">
      <c r="B31" s="43" t="s">
        <v>57</v>
      </c>
      <c r="C31" s="44" t="s">
        <v>66</v>
      </c>
      <c r="D31" s="176">
        <v>2</v>
      </c>
      <c r="E31" s="198">
        <f>IF(D31="","",Tech!C31)</f>
        <v>1.5874790138134842</v>
      </c>
      <c r="F31" s="187">
        <f t="shared" si="25"/>
        <v>9.507845520895231E-07</v>
      </c>
      <c r="G31" s="133">
        <f t="shared" si="20"/>
        <v>0.20444035394085366</v>
      </c>
      <c r="H31" s="98">
        <f t="shared" si="21"/>
        <v>0.32454477145770605</v>
      </c>
      <c r="I31" s="98">
        <f t="shared" si="21"/>
        <v>0.25760400686600093</v>
      </c>
      <c r="J31" s="98">
        <f t="shared" si="21"/>
        <v>0.13631365159134706</v>
      </c>
      <c r="K31" s="98">
        <f t="shared" si="21"/>
        <v>0.054098765299386634</v>
      </c>
      <c r="L31" s="98">
        <f t="shared" si="21"/>
        <v>0.017176130917199484</v>
      </c>
      <c r="M31" s="98">
        <f t="shared" si="21"/>
        <v>0.004544457894927856</v>
      </c>
      <c r="N31" s="98">
        <f t="shared" si="21"/>
        <v>0.0010306045053367107</v>
      </c>
      <c r="O31" s="98">
        <f t="shared" si="21"/>
        <v>0.0002045078779704569</v>
      </c>
      <c r="P31" s="98">
        <f t="shared" si="21"/>
        <v>3.607244049306992E-05</v>
      </c>
      <c r="Q31" s="98">
        <f t="shared" si="21"/>
        <v>5.726424225978424E-06</v>
      </c>
      <c r="R31" s="98">
        <f t="shared" si="21"/>
      </c>
      <c r="S31" s="98">
        <f t="shared" si="21"/>
      </c>
      <c r="T31" s="98">
        <f t="shared" si="21"/>
      </c>
      <c r="U31" s="98">
        <f t="shared" si="21"/>
      </c>
      <c r="V31" s="98">
        <f t="shared" si="21"/>
      </c>
      <c r="W31" s="98">
        <f t="shared" si="21"/>
      </c>
      <c r="X31" s="98">
        <f t="shared" si="22"/>
      </c>
      <c r="Y31" s="98">
        <f t="shared" si="22"/>
      </c>
      <c r="Z31" s="98">
        <f t="shared" si="22"/>
      </c>
      <c r="AA31" s="98">
        <f t="shared" si="22"/>
      </c>
      <c r="AB31" s="98">
        <f t="shared" si="22"/>
      </c>
      <c r="AC31" s="98">
        <f t="shared" si="22"/>
      </c>
      <c r="AD31" s="98">
        <f t="shared" si="22"/>
      </c>
      <c r="AE31" s="98">
        <f t="shared" si="22"/>
      </c>
      <c r="AF31" s="98">
        <f t="shared" si="22"/>
      </c>
      <c r="AG31" s="98">
        <f t="shared" si="22"/>
      </c>
      <c r="AH31" s="98">
        <f t="shared" si="22"/>
      </c>
      <c r="AI31" s="98">
        <f t="shared" si="22"/>
      </c>
      <c r="AJ31" s="98">
        <f t="shared" si="22"/>
      </c>
      <c r="AK31" s="98">
        <f t="shared" si="22"/>
      </c>
      <c r="AL31" s="98">
        <f t="shared" si="22"/>
      </c>
      <c r="AM31" s="98">
        <f t="shared" si="22"/>
      </c>
      <c r="AN31" s="98">
        <f t="shared" si="23"/>
      </c>
      <c r="AO31" s="98">
        <f t="shared" si="23"/>
      </c>
      <c r="AP31" s="98">
        <f t="shared" si="23"/>
      </c>
      <c r="AQ31" s="98">
        <f t="shared" si="23"/>
      </c>
      <c r="AR31" s="98">
        <f t="shared" si="23"/>
      </c>
      <c r="AS31" s="98">
        <f t="shared" si="23"/>
      </c>
      <c r="AT31" s="98">
        <f t="shared" si="23"/>
      </c>
      <c r="AU31" s="98">
        <f t="shared" si="23"/>
      </c>
      <c r="AV31" s="98">
        <f t="shared" si="23"/>
      </c>
      <c r="AW31" s="98">
        <f t="shared" si="23"/>
      </c>
      <c r="AX31" s="98">
        <f t="shared" si="23"/>
      </c>
      <c r="AY31" s="98">
        <f t="shared" si="23"/>
      </c>
      <c r="AZ31" s="98">
        <f t="shared" si="23"/>
      </c>
      <c r="BA31" s="98">
        <f t="shared" si="23"/>
      </c>
      <c r="BB31" s="98">
        <f t="shared" si="23"/>
      </c>
      <c r="BC31" s="98">
        <f t="shared" si="23"/>
      </c>
      <c r="BD31" s="98">
        <f t="shared" si="24"/>
      </c>
      <c r="BE31" s="99">
        <f t="shared" si="24"/>
      </c>
      <c r="BG31" s="75" t="str">
        <f t="shared" si="6"/>
        <v>---</v>
      </c>
      <c r="BH31" s="75" t="str">
        <f t="shared" si="7"/>
        <v>---</v>
      </c>
    </row>
    <row r="32" spans="2:60" ht="12.75" customHeight="1">
      <c r="B32" s="45"/>
      <c r="C32" s="46"/>
      <c r="D32" s="176">
        <v>3</v>
      </c>
      <c r="E32" s="198">
        <f>IF(D32="","",Tech!C32)</f>
        <v>1.6079656877292636</v>
      </c>
      <c r="F32" s="187">
        <f t="shared" si="25"/>
        <v>1.0746698562158485E-06</v>
      </c>
      <c r="G32" s="133">
        <f t="shared" si="20"/>
        <v>0.20029466179193023</v>
      </c>
      <c r="H32" s="98">
        <f t="shared" si="21"/>
        <v>0.32206694359676136</v>
      </c>
      <c r="I32" s="98">
        <f t="shared" si="21"/>
        <v>0.25893629722771416</v>
      </c>
      <c r="J32" s="98">
        <f t="shared" si="21"/>
        <v>0.1387868937499435</v>
      </c>
      <c r="K32" s="98">
        <f t="shared" si="21"/>
        <v>0.05579114076410902</v>
      </c>
      <c r="L32" s="98">
        <f t="shared" si="21"/>
        <v>0.017942048005592147</v>
      </c>
      <c r="M32" s="98">
        <f t="shared" si="21"/>
        <v>0.0048083662600972394</v>
      </c>
      <c r="N32" s="98">
        <f t="shared" si="21"/>
        <v>0.0011045268514673489</v>
      </c>
      <c r="O32" s="98">
        <f t="shared" si="21"/>
        <v>0.0002220051597918918</v>
      </c>
      <c r="P32" s="98">
        <f t="shared" si="21"/>
        <v>3.9664075493801584E-05</v>
      </c>
      <c r="Q32" s="98">
        <f t="shared" si="21"/>
        <v>6.377847242953612E-06</v>
      </c>
      <c r="R32" s="98">
        <f t="shared" si="21"/>
      </c>
      <c r="S32" s="98">
        <f t="shared" si="21"/>
      </c>
      <c r="T32" s="98">
        <f t="shared" si="21"/>
      </c>
      <c r="U32" s="98">
        <f t="shared" si="21"/>
      </c>
      <c r="V32" s="98">
        <f t="shared" si="21"/>
      </c>
      <c r="W32" s="98">
        <f t="shared" si="21"/>
      </c>
      <c r="X32" s="98">
        <f t="shared" si="22"/>
      </c>
      <c r="Y32" s="98">
        <f t="shared" si="22"/>
      </c>
      <c r="Z32" s="98">
        <f t="shared" si="22"/>
      </c>
      <c r="AA32" s="98">
        <f t="shared" si="22"/>
      </c>
      <c r="AB32" s="98">
        <f t="shared" si="22"/>
      </c>
      <c r="AC32" s="98">
        <f t="shared" si="22"/>
      </c>
      <c r="AD32" s="98">
        <f t="shared" si="22"/>
      </c>
      <c r="AE32" s="98">
        <f t="shared" si="22"/>
      </c>
      <c r="AF32" s="98">
        <f t="shared" si="22"/>
      </c>
      <c r="AG32" s="98">
        <f t="shared" si="22"/>
      </c>
      <c r="AH32" s="98">
        <f t="shared" si="22"/>
      </c>
      <c r="AI32" s="98">
        <f t="shared" si="22"/>
      </c>
      <c r="AJ32" s="98">
        <f t="shared" si="22"/>
      </c>
      <c r="AK32" s="98">
        <f t="shared" si="22"/>
      </c>
      <c r="AL32" s="98">
        <f t="shared" si="22"/>
      </c>
      <c r="AM32" s="98">
        <f t="shared" si="22"/>
      </c>
      <c r="AN32" s="98">
        <f t="shared" si="23"/>
      </c>
      <c r="AO32" s="98">
        <f t="shared" si="23"/>
      </c>
      <c r="AP32" s="98">
        <f t="shared" si="23"/>
      </c>
      <c r="AQ32" s="98">
        <f t="shared" si="23"/>
      </c>
      <c r="AR32" s="98">
        <f t="shared" si="23"/>
      </c>
      <c r="AS32" s="98">
        <f t="shared" si="23"/>
      </c>
      <c r="AT32" s="98">
        <f t="shared" si="23"/>
      </c>
      <c r="AU32" s="98">
        <f t="shared" si="23"/>
      </c>
      <c r="AV32" s="98">
        <f t="shared" si="23"/>
      </c>
      <c r="AW32" s="98">
        <f t="shared" si="23"/>
      </c>
      <c r="AX32" s="98">
        <f t="shared" si="23"/>
      </c>
      <c r="AY32" s="98">
        <f t="shared" si="23"/>
      </c>
      <c r="AZ32" s="98">
        <f t="shared" si="23"/>
      </c>
      <c r="BA32" s="98">
        <f t="shared" si="23"/>
      </c>
      <c r="BB32" s="98">
        <f t="shared" si="23"/>
      </c>
      <c r="BC32" s="98">
        <f t="shared" si="23"/>
      </c>
      <c r="BD32" s="98">
        <f t="shared" si="24"/>
      </c>
      <c r="BE32" s="99">
        <f t="shared" si="24"/>
      </c>
      <c r="BG32" s="75" t="str">
        <f t="shared" si="6"/>
        <v>---</v>
      </c>
      <c r="BH32" s="75" t="str">
        <f t="shared" si="7"/>
        <v>---</v>
      </c>
    </row>
    <row r="33" spans="2:60" ht="12.75" customHeight="1">
      <c r="B33" s="45"/>
      <c r="C33" s="46"/>
      <c r="D33" s="176">
        <v>4</v>
      </c>
      <c r="E33" s="198">
        <f>IF(D33="","",Tech!C33)</f>
        <v>1.6287167454916829</v>
      </c>
      <c r="F33" s="187">
        <f t="shared" si="25"/>
        <v>1.2144098540112225E-06</v>
      </c>
      <c r="G33" s="133">
        <f t="shared" si="20"/>
        <v>0.19618116302799096</v>
      </c>
      <c r="H33" s="98">
        <f t="shared" si="21"/>
        <v>0.3195235453737227</v>
      </c>
      <c r="I33" s="98">
        <f t="shared" si="21"/>
        <v>0.26020667446452683</v>
      </c>
      <c r="J33" s="98">
        <f t="shared" si="21"/>
        <v>0.1412676559963593</v>
      </c>
      <c r="K33" s="98">
        <f t="shared" si="21"/>
        <v>0.05752124922940724</v>
      </c>
      <c r="L33" s="98">
        <f t="shared" si="21"/>
        <v>0.01873716436830723</v>
      </c>
      <c r="M33" s="98">
        <f t="shared" si="21"/>
        <v>0.005086255561615344</v>
      </c>
      <c r="N33" s="98">
        <f t="shared" si="21"/>
        <v>0.0011834385150075884</v>
      </c>
      <c r="O33" s="98">
        <f t="shared" si="21"/>
        <v>0.0002409357658315836</v>
      </c>
      <c r="P33" s="98">
        <f t="shared" si="21"/>
        <v>4.360179071086258E-05</v>
      </c>
      <c r="Q33" s="98">
        <f t="shared" si="21"/>
        <v>7.101496666420557E-06</v>
      </c>
      <c r="R33" s="98">
        <f t="shared" si="21"/>
      </c>
      <c r="S33" s="98">
        <f t="shared" si="21"/>
      </c>
      <c r="T33" s="98">
        <f t="shared" si="21"/>
      </c>
      <c r="U33" s="98">
        <f t="shared" si="21"/>
      </c>
      <c r="V33" s="98">
        <f t="shared" si="21"/>
      </c>
      <c r="W33" s="98">
        <f t="shared" si="21"/>
      </c>
      <c r="X33" s="98">
        <f t="shared" si="22"/>
      </c>
      <c r="Y33" s="98">
        <f t="shared" si="22"/>
      </c>
      <c r="Z33" s="98">
        <f t="shared" si="22"/>
      </c>
      <c r="AA33" s="98">
        <f t="shared" si="22"/>
      </c>
      <c r="AB33" s="98">
        <f t="shared" si="22"/>
      </c>
      <c r="AC33" s="98">
        <f t="shared" si="22"/>
      </c>
      <c r="AD33" s="98">
        <f t="shared" si="22"/>
      </c>
      <c r="AE33" s="98">
        <f t="shared" si="22"/>
      </c>
      <c r="AF33" s="98">
        <f t="shared" si="22"/>
      </c>
      <c r="AG33" s="98">
        <f t="shared" si="22"/>
      </c>
      <c r="AH33" s="98">
        <f t="shared" si="22"/>
      </c>
      <c r="AI33" s="98">
        <f t="shared" si="22"/>
      </c>
      <c r="AJ33" s="98">
        <f t="shared" si="22"/>
      </c>
      <c r="AK33" s="98">
        <f t="shared" si="22"/>
      </c>
      <c r="AL33" s="98">
        <f t="shared" si="22"/>
      </c>
      <c r="AM33" s="98">
        <f t="shared" si="22"/>
      </c>
      <c r="AN33" s="98">
        <f t="shared" si="23"/>
      </c>
      <c r="AO33" s="98">
        <f t="shared" si="23"/>
      </c>
      <c r="AP33" s="98">
        <f t="shared" si="23"/>
      </c>
      <c r="AQ33" s="98">
        <f t="shared" si="23"/>
      </c>
      <c r="AR33" s="98">
        <f t="shared" si="23"/>
      </c>
      <c r="AS33" s="98">
        <f t="shared" si="23"/>
      </c>
      <c r="AT33" s="98">
        <f t="shared" si="23"/>
      </c>
      <c r="AU33" s="98">
        <f t="shared" si="23"/>
      </c>
      <c r="AV33" s="98">
        <f t="shared" si="23"/>
      </c>
      <c r="AW33" s="98">
        <f t="shared" si="23"/>
      </c>
      <c r="AX33" s="98">
        <f t="shared" si="23"/>
      </c>
      <c r="AY33" s="98">
        <f t="shared" si="23"/>
      </c>
      <c r="AZ33" s="98">
        <f t="shared" si="23"/>
      </c>
      <c r="BA33" s="98">
        <f t="shared" si="23"/>
      </c>
      <c r="BB33" s="98">
        <f t="shared" si="23"/>
      </c>
      <c r="BC33" s="98">
        <f t="shared" si="23"/>
      </c>
      <c r="BD33" s="98">
        <f t="shared" si="24"/>
      </c>
      <c r="BE33" s="99">
        <f t="shared" si="24"/>
      </c>
      <c r="BG33" s="75" t="str">
        <f t="shared" si="6"/>
        <v>---</v>
      </c>
      <c r="BH33" s="75" t="str">
        <f t="shared" si="7"/>
        <v>---</v>
      </c>
    </row>
    <row r="34" spans="2:62" ht="12.75" customHeight="1">
      <c r="B34" s="47"/>
      <c r="C34" s="48"/>
      <c r="D34" s="177">
        <v>10</v>
      </c>
      <c r="E34" s="200">
        <f>IF(D34="","",Tech!C34)</f>
        <v>1.6615994981694835</v>
      </c>
      <c r="F34" s="188">
        <f t="shared" si="25"/>
        <v>1.4686421232479319E-06</v>
      </c>
      <c r="G34" s="134">
        <f t="shared" si="20"/>
        <v>0.18983509624652348</v>
      </c>
      <c r="H34" s="104">
        <f aca="true" t="shared" si="26" ref="H34:V34">IF(OR(H$14&gt;NmPc,ChV=""),"",POISSON(H$14,+Expps,FALSE))</f>
        <v>0.315429900658179</v>
      </c>
      <c r="I34" s="104">
        <f t="shared" si="26"/>
        <v>0.2620590823206401</v>
      </c>
      <c r="J34" s="104">
        <f t="shared" si="26"/>
        <v>0.14514574655824367</v>
      </c>
      <c r="K34" s="104">
        <f t="shared" si="26"/>
        <v>0.060293524910653165</v>
      </c>
      <c r="L34" s="104">
        <f t="shared" si="26"/>
        <v>0.020036738146882112</v>
      </c>
      <c r="M34" s="104">
        <f t="shared" si="26"/>
        <v>0.005548839008302112</v>
      </c>
      <c r="N34" s="104">
        <f t="shared" si="26"/>
        <v>0.001317135444516863</v>
      </c>
      <c r="O34" s="104">
        <f t="shared" si="26"/>
        <v>0.00027356894920380737</v>
      </c>
      <c r="P34" s="104">
        <f t="shared" si="26"/>
        <v>5.05068920790888E-05</v>
      </c>
      <c r="Q34" s="104">
        <f t="shared" si="26"/>
        <v>8.39222265327142E-06</v>
      </c>
      <c r="R34" s="104">
        <f t="shared" si="26"/>
      </c>
      <c r="S34" s="104">
        <f t="shared" si="26"/>
      </c>
      <c r="T34" s="104">
        <f t="shared" si="26"/>
      </c>
      <c r="U34" s="104">
        <f t="shared" si="26"/>
      </c>
      <c r="V34" s="104">
        <f t="shared" si="26"/>
      </c>
      <c r="W34" s="104">
        <f t="shared" si="21"/>
      </c>
      <c r="X34" s="104">
        <f t="shared" si="22"/>
      </c>
      <c r="Y34" s="104">
        <f t="shared" si="22"/>
      </c>
      <c r="Z34" s="104">
        <f t="shared" si="22"/>
      </c>
      <c r="AA34" s="104">
        <f t="shared" si="22"/>
      </c>
      <c r="AB34" s="104">
        <f t="shared" si="22"/>
      </c>
      <c r="AC34" s="104">
        <f t="shared" si="22"/>
      </c>
      <c r="AD34" s="104">
        <f t="shared" si="22"/>
      </c>
      <c r="AE34" s="104">
        <f t="shared" si="22"/>
      </c>
      <c r="AF34" s="104">
        <f t="shared" si="22"/>
      </c>
      <c r="AG34" s="104">
        <f t="shared" si="22"/>
      </c>
      <c r="AH34" s="104">
        <f t="shared" si="22"/>
      </c>
      <c r="AI34" s="104">
        <f t="shared" si="22"/>
      </c>
      <c r="AJ34" s="104">
        <f t="shared" si="22"/>
      </c>
      <c r="AK34" s="104">
        <f t="shared" si="22"/>
      </c>
      <c r="AL34" s="104">
        <f t="shared" si="22"/>
      </c>
      <c r="AM34" s="104">
        <f t="shared" si="22"/>
      </c>
      <c r="AN34" s="104">
        <f t="shared" si="23"/>
      </c>
      <c r="AO34" s="104">
        <f t="shared" si="23"/>
      </c>
      <c r="AP34" s="104">
        <f t="shared" si="23"/>
      </c>
      <c r="AQ34" s="104">
        <f t="shared" si="23"/>
      </c>
      <c r="AR34" s="104">
        <f t="shared" si="23"/>
      </c>
      <c r="AS34" s="104">
        <f t="shared" si="23"/>
      </c>
      <c r="AT34" s="104">
        <f t="shared" si="23"/>
      </c>
      <c r="AU34" s="104">
        <f t="shared" si="23"/>
      </c>
      <c r="AV34" s="104">
        <f t="shared" si="23"/>
      </c>
      <c r="AW34" s="104">
        <f t="shared" si="23"/>
      </c>
      <c r="AX34" s="104">
        <f t="shared" si="23"/>
      </c>
      <c r="AY34" s="104">
        <f t="shared" si="23"/>
      </c>
      <c r="AZ34" s="104">
        <f t="shared" si="23"/>
      </c>
      <c r="BA34" s="104">
        <f t="shared" si="23"/>
      </c>
      <c r="BB34" s="104">
        <f t="shared" si="23"/>
      </c>
      <c r="BC34" s="104">
        <f t="shared" si="23"/>
      </c>
      <c r="BD34" s="104">
        <f t="shared" si="24"/>
      </c>
      <c r="BE34" s="105">
        <f t="shared" si="24"/>
      </c>
      <c r="BG34" s="75" t="str">
        <f t="shared" si="6"/>
        <v>---</v>
      </c>
      <c r="BH34" s="75" t="str">
        <f t="shared" si="7"/>
        <v>---</v>
      </c>
      <c r="BJ34" s="13"/>
    </row>
    <row r="35" spans="2:62" ht="12.75" customHeight="1">
      <c r="B35" s="45"/>
      <c r="C35" s="46"/>
      <c r="D35" s="176">
        <v>20</v>
      </c>
      <c r="E35" s="198">
        <f>IF(D35="","",Tech!C35)</f>
        <v>2.145146163527853</v>
      </c>
      <c r="F35" s="187">
        <f t="shared" si="25"/>
        <v>1.5750476949460968E-05</v>
      </c>
      <c r="G35" s="133">
        <f aca="true" t="shared" si="27" ref="G35:BE39">IF(OR(G$14&gt;NmPc,ChV=""),"",POISSON(G$14,+Expps,FALSE))</f>
        <v>0.11705092721727997</v>
      </c>
      <c r="H35" s="98">
        <f t="shared" si="27"/>
        <v>0.2510913474575261</v>
      </c>
      <c r="I35" s="98">
        <f t="shared" si="27"/>
        <v>0.26931382034677565</v>
      </c>
      <c r="J35" s="98">
        <f t="shared" si="27"/>
        <v>0.1925725028339718</v>
      </c>
      <c r="K35" s="98">
        <f t="shared" si="27"/>
        <v>0.10327404141381279</v>
      </c>
      <c r="L35" s="98">
        <f t="shared" si="27"/>
        <v>0.044307582746171414</v>
      </c>
      <c r="M35" s="98">
        <f t="shared" si="27"/>
        <v>0.015841040190523757</v>
      </c>
      <c r="N35" s="98">
        <f t="shared" si="27"/>
        <v>0.004854478084427509</v>
      </c>
      <c r="O35" s="98">
        <f t="shared" si="27"/>
        <v>0.001301695629842464</v>
      </c>
      <c r="P35" s="98">
        <f t="shared" si="27"/>
        <v>0.0003102585984930593</v>
      </c>
      <c r="Q35" s="98">
        <f t="shared" si="27"/>
        <v>6.655500422589146E-05</v>
      </c>
      <c r="R35" s="98">
        <f t="shared" si="27"/>
      </c>
      <c r="S35" s="98">
        <f t="shared" si="27"/>
      </c>
      <c r="T35" s="98">
        <f t="shared" si="27"/>
      </c>
      <c r="U35" s="98">
        <f t="shared" si="27"/>
      </c>
      <c r="V35" s="98">
        <f t="shared" si="27"/>
      </c>
      <c r="W35" s="98">
        <f t="shared" si="27"/>
      </c>
      <c r="X35" s="98">
        <f t="shared" si="27"/>
      </c>
      <c r="Y35" s="98">
        <f t="shared" si="27"/>
      </c>
      <c r="Z35" s="98">
        <f t="shared" si="27"/>
      </c>
      <c r="AA35" s="98">
        <f t="shared" si="27"/>
      </c>
      <c r="AB35" s="98">
        <f t="shared" si="27"/>
      </c>
      <c r="AC35" s="98">
        <f t="shared" si="27"/>
      </c>
      <c r="AD35" s="98">
        <f t="shared" si="27"/>
      </c>
      <c r="AE35" s="98">
        <f t="shared" si="27"/>
      </c>
      <c r="AF35" s="98">
        <f t="shared" si="27"/>
      </c>
      <c r="AG35" s="98">
        <f t="shared" si="27"/>
      </c>
      <c r="AH35" s="98">
        <f t="shared" si="27"/>
      </c>
      <c r="AI35" s="98">
        <f t="shared" si="27"/>
      </c>
      <c r="AJ35" s="98">
        <f t="shared" si="27"/>
      </c>
      <c r="AK35" s="98">
        <f t="shared" si="27"/>
      </c>
      <c r="AL35" s="98">
        <f t="shared" si="27"/>
      </c>
      <c r="AM35" s="98">
        <f t="shared" si="27"/>
      </c>
      <c r="AN35" s="98">
        <f t="shared" si="27"/>
      </c>
      <c r="AO35" s="98">
        <f t="shared" si="27"/>
      </c>
      <c r="AP35" s="98">
        <f t="shared" si="27"/>
      </c>
      <c r="AQ35" s="98">
        <f t="shared" si="27"/>
      </c>
      <c r="AR35" s="98">
        <f t="shared" si="27"/>
      </c>
      <c r="AS35" s="98">
        <f t="shared" si="27"/>
      </c>
      <c r="AT35" s="98">
        <f t="shared" si="27"/>
      </c>
      <c r="AU35" s="98">
        <f t="shared" si="27"/>
      </c>
      <c r="AV35" s="98">
        <f t="shared" si="27"/>
      </c>
      <c r="AW35" s="98">
        <f t="shared" si="27"/>
      </c>
      <c r="AX35" s="98">
        <f t="shared" si="27"/>
      </c>
      <c r="AY35" s="98">
        <f t="shared" si="27"/>
      </c>
      <c r="AZ35" s="98">
        <f t="shared" si="27"/>
      </c>
      <c r="BA35" s="98">
        <f t="shared" si="27"/>
      </c>
      <c r="BB35" s="98">
        <f t="shared" si="27"/>
      </c>
      <c r="BC35" s="98">
        <f t="shared" si="27"/>
      </c>
      <c r="BD35" s="98">
        <f t="shared" si="27"/>
      </c>
      <c r="BE35" s="99">
        <f t="shared" si="27"/>
      </c>
      <c r="BG35" s="75" t="str">
        <f t="shared" si="6"/>
        <v>---</v>
      </c>
      <c r="BH35" s="75" t="str">
        <f t="shared" si="7"/>
        <v>---</v>
      </c>
      <c r="BJ35" s="13"/>
    </row>
    <row r="36" spans="2:62" ht="12.75" customHeight="1">
      <c r="B36" s="43" t="s">
        <v>58</v>
      </c>
      <c r="C36" s="44" t="s">
        <v>67</v>
      </c>
      <c r="D36" s="176">
        <v>30</v>
      </c>
      <c r="E36" s="198">
        <f>IF(D36="","",Tech!C36)</f>
        <v>2.769411081291081</v>
      </c>
      <c r="F36" s="187">
        <f t="shared" si="25"/>
        <v>0.00014913335782085202</v>
      </c>
      <c r="G36" s="133">
        <f t="shared" si="27"/>
        <v>0.06269891843760024</v>
      </c>
      <c r="H36" s="98">
        <f t="shared" si="27"/>
        <v>0.17363907950605575</v>
      </c>
      <c r="I36" s="98">
        <f t="shared" si="27"/>
        <v>0.2404389954646269</v>
      </c>
      <c r="J36" s="98">
        <f t="shared" si="27"/>
        <v>0.22195813947141121</v>
      </c>
      <c r="K36" s="98">
        <f t="shared" si="27"/>
        <v>0.1536733327587194</v>
      </c>
      <c r="L36" s="98">
        <f t="shared" si="27"/>
        <v>0.08511692612818582</v>
      </c>
      <c r="M36" s="98">
        <f t="shared" si="27"/>
        <v>0.03928729307080535</v>
      </c>
      <c r="N36" s="98">
        <f t="shared" si="27"/>
        <v>0.01554323782631695</v>
      </c>
      <c r="O36" s="98">
        <f t="shared" si="27"/>
        <v>0.005380701884418106</v>
      </c>
      <c r="P36" s="98">
        <f t="shared" si="27"/>
        <v>0.0016557083804257001</v>
      </c>
      <c r="Q36" s="98">
        <f t="shared" si="27"/>
        <v>0.0004585337136137443</v>
      </c>
      <c r="R36" s="98">
        <f t="shared" si="27"/>
      </c>
      <c r="S36" s="98">
        <f t="shared" si="27"/>
      </c>
      <c r="T36" s="98">
        <f t="shared" si="27"/>
      </c>
      <c r="U36" s="98">
        <f t="shared" si="27"/>
      </c>
      <c r="V36" s="98">
        <f t="shared" si="27"/>
      </c>
      <c r="W36" s="98">
        <f t="shared" si="27"/>
      </c>
      <c r="X36" s="98">
        <f t="shared" si="27"/>
      </c>
      <c r="Y36" s="98">
        <f t="shared" si="27"/>
      </c>
      <c r="Z36" s="98">
        <f t="shared" si="27"/>
      </c>
      <c r="AA36" s="98">
        <f t="shared" si="27"/>
      </c>
      <c r="AB36" s="98">
        <f t="shared" si="27"/>
      </c>
      <c r="AC36" s="98">
        <f t="shared" si="27"/>
      </c>
      <c r="AD36" s="98">
        <f t="shared" si="27"/>
      </c>
      <c r="AE36" s="98">
        <f t="shared" si="27"/>
      </c>
      <c r="AF36" s="98">
        <f t="shared" si="27"/>
      </c>
      <c r="AG36" s="98">
        <f t="shared" si="27"/>
      </c>
      <c r="AH36" s="98">
        <f t="shared" si="27"/>
      </c>
      <c r="AI36" s="98">
        <f t="shared" si="27"/>
      </c>
      <c r="AJ36" s="98">
        <f t="shared" si="27"/>
      </c>
      <c r="AK36" s="98">
        <f t="shared" si="27"/>
      </c>
      <c r="AL36" s="98">
        <f t="shared" si="27"/>
      </c>
      <c r="AM36" s="98">
        <f t="shared" si="27"/>
      </c>
      <c r="AN36" s="98">
        <f t="shared" si="27"/>
      </c>
      <c r="AO36" s="98">
        <f t="shared" si="27"/>
      </c>
      <c r="AP36" s="98">
        <f t="shared" si="27"/>
      </c>
      <c r="AQ36" s="98">
        <f t="shared" si="27"/>
      </c>
      <c r="AR36" s="98">
        <f t="shared" si="27"/>
      </c>
      <c r="AS36" s="98">
        <f t="shared" si="27"/>
      </c>
      <c r="AT36" s="98">
        <f t="shared" si="27"/>
      </c>
      <c r="AU36" s="98">
        <f t="shared" si="27"/>
      </c>
      <c r="AV36" s="98">
        <f t="shared" si="27"/>
      </c>
      <c r="AW36" s="98">
        <f t="shared" si="27"/>
      </c>
      <c r="AX36" s="98">
        <f t="shared" si="27"/>
      </c>
      <c r="AY36" s="98">
        <f t="shared" si="27"/>
      </c>
      <c r="AZ36" s="98">
        <f t="shared" si="27"/>
      </c>
      <c r="BA36" s="98">
        <f t="shared" si="27"/>
      </c>
      <c r="BB36" s="98">
        <f t="shared" si="27"/>
      </c>
      <c r="BC36" s="98">
        <f t="shared" si="27"/>
      </c>
      <c r="BD36" s="98">
        <f t="shared" si="27"/>
      </c>
      <c r="BE36" s="99">
        <f t="shared" si="27"/>
      </c>
      <c r="BG36" s="75" t="str">
        <f t="shared" si="6"/>
        <v>---</v>
      </c>
      <c r="BH36" s="75" t="str">
        <f t="shared" si="7"/>
        <v>---</v>
      </c>
      <c r="BJ36" s="13"/>
    </row>
    <row r="37" spans="2:62" ht="12.75" customHeight="1">
      <c r="B37" s="45"/>
      <c r="C37" s="46"/>
      <c r="D37" s="176">
        <v>50</v>
      </c>
      <c r="E37" s="198">
        <f>IF(D37="","",Tech!C37)</f>
        <v>4.61581611310497</v>
      </c>
      <c r="F37" s="187">
        <f t="shared" si="25"/>
        <v>0.007964109235063743</v>
      </c>
      <c r="G37" s="133">
        <f t="shared" si="27"/>
        <v>0.00989410540205233</v>
      </c>
      <c r="H37" s="98">
        <f t="shared" si="27"/>
        <v>0.04566937113955207</v>
      </c>
      <c r="I37" s="98">
        <f t="shared" si="27"/>
        <v>0.10540070959065777</v>
      </c>
      <c r="J37" s="98">
        <f t="shared" si="27"/>
        <v>0.16217009788708522</v>
      </c>
      <c r="K37" s="98">
        <f t="shared" si="27"/>
        <v>0.18713683772275455</v>
      </c>
      <c r="L37" s="98">
        <f t="shared" si="27"/>
        <v>0.1727578461832401</v>
      </c>
      <c r="M37" s="98">
        <f t="shared" si="27"/>
        <v>0.13290307501298496</v>
      </c>
      <c r="N37" s="98">
        <f t="shared" si="27"/>
        <v>0.08763659358944778</v>
      </c>
      <c r="O37" s="98">
        <f t="shared" si="27"/>
        <v>0.050564300098475595</v>
      </c>
      <c r="P37" s="98">
        <f t="shared" si="27"/>
        <v>0.025932834571379876</v>
      </c>
      <c r="Q37" s="98">
        <f t="shared" si="27"/>
        <v>0.011970119567306084</v>
      </c>
      <c r="R37" s="98">
        <f t="shared" si="27"/>
      </c>
      <c r="S37" s="98">
        <f t="shared" si="27"/>
      </c>
      <c r="T37" s="98">
        <f t="shared" si="27"/>
      </c>
      <c r="U37" s="98">
        <f t="shared" si="27"/>
      </c>
      <c r="V37" s="98">
        <f t="shared" si="27"/>
      </c>
      <c r="W37" s="98">
        <f t="shared" si="27"/>
      </c>
      <c r="X37" s="98">
        <f t="shared" si="27"/>
      </c>
      <c r="Y37" s="98">
        <f t="shared" si="27"/>
      </c>
      <c r="Z37" s="98">
        <f t="shared" si="27"/>
      </c>
      <c r="AA37" s="98">
        <f t="shared" si="27"/>
      </c>
      <c r="AB37" s="98">
        <f t="shared" si="27"/>
      </c>
      <c r="AC37" s="98">
        <f t="shared" si="27"/>
      </c>
      <c r="AD37" s="98">
        <f t="shared" si="27"/>
      </c>
      <c r="AE37" s="98">
        <f t="shared" si="27"/>
      </c>
      <c r="AF37" s="98">
        <f t="shared" si="27"/>
      </c>
      <c r="AG37" s="98">
        <f t="shared" si="27"/>
      </c>
      <c r="AH37" s="98">
        <f t="shared" si="27"/>
      </c>
      <c r="AI37" s="98">
        <f t="shared" si="27"/>
      </c>
      <c r="AJ37" s="98">
        <f t="shared" si="27"/>
      </c>
      <c r="AK37" s="98">
        <f t="shared" si="27"/>
      </c>
      <c r="AL37" s="98">
        <f t="shared" si="27"/>
      </c>
      <c r="AM37" s="98">
        <f t="shared" si="27"/>
      </c>
      <c r="AN37" s="98">
        <f t="shared" si="27"/>
      </c>
      <c r="AO37" s="98">
        <f t="shared" si="27"/>
      </c>
      <c r="AP37" s="98">
        <f t="shared" si="27"/>
      </c>
      <c r="AQ37" s="98">
        <f t="shared" si="27"/>
      </c>
      <c r="AR37" s="98">
        <f t="shared" si="27"/>
      </c>
      <c r="AS37" s="98">
        <f t="shared" si="27"/>
      </c>
      <c r="AT37" s="98">
        <f t="shared" si="27"/>
      </c>
      <c r="AU37" s="98">
        <f t="shared" si="27"/>
      </c>
      <c r="AV37" s="98">
        <f t="shared" si="27"/>
      </c>
      <c r="AW37" s="98">
        <f t="shared" si="27"/>
      </c>
      <c r="AX37" s="98">
        <f t="shared" si="27"/>
      </c>
      <c r="AY37" s="98">
        <f t="shared" si="27"/>
      </c>
      <c r="AZ37" s="98">
        <f t="shared" si="27"/>
      </c>
      <c r="BA37" s="98">
        <f t="shared" si="27"/>
      </c>
      <c r="BB37" s="98">
        <f t="shared" si="27"/>
      </c>
      <c r="BC37" s="98">
        <f t="shared" si="27"/>
      </c>
      <c r="BD37" s="98">
        <f t="shared" si="27"/>
      </c>
      <c r="BE37" s="99">
        <f t="shared" si="27"/>
      </c>
      <c r="BG37" s="75" t="str">
        <f t="shared" si="6"/>
        <v>---</v>
      </c>
      <c r="BH37" s="75" t="str">
        <f t="shared" si="7"/>
        <v>---</v>
      </c>
      <c r="BJ37" s="13"/>
    </row>
    <row r="38" spans="2:62" ht="12.75" customHeight="1">
      <c r="B38" s="49"/>
      <c r="C38" s="50"/>
      <c r="D38" s="178">
        <v>70</v>
      </c>
      <c r="E38" s="201">
        <f>IF(D38="","",Tech!C38)</f>
        <v>7.693245157402513</v>
      </c>
      <c r="F38" s="189">
        <f t="shared" si="25"/>
        <v>0.15487518278248114</v>
      </c>
      <c r="G38" s="135">
        <f t="shared" si="27"/>
        <v>0.00045589631330769073</v>
      </c>
      <c r="H38" s="102">
        <f t="shared" si="27"/>
        <v>0.0035073221046320506</v>
      </c>
      <c r="I38" s="102">
        <f t="shared" si="27"/>
        <v>0.013491344398455658</v>
      </c>
      <c r="J38" s="102">
        <f t="shared" si="27"/>
        <v>0.03459740665342281</v>
      </c>
      <c r="K38" s="102">
        <f t="shared" si="27"/>
        <v>0.06654158279878268</v>
      </c>
      <c r="L38" s="102">
        <f t="shared" si="27"/>
        <v>0.10238414192652669</v>
      </c>
      <c r="M38" s="102">
        <f t="shared" si="27"/>
        <v>0.13127771734517701</v>
      </c>
      <c r="N38" s="102">
        <f t="shared" si="27"/>
        <v>0.14427880903437704</v>
      </c>
      <c r="O38" s="102">
        <f t="shared" si="27"/>
        <v>0.13874653111494045</v>
      </c>
      <c r="P38" s="102">
        <f t="shared" si="27"/>
        <v>0.11860123095626791</v>
      </c>
      <c r="Q38" s="102">
        <f t="shared" si="27"/>
        <v>0.09124283457162873</v>
      </c>
      <c r="R38" s="102">
        <f t="shared" si="27"/>
      </c>
      <c r="S38" s="102">
        <f t="shared" si="27"/>
      </c>
      <c r="T38" s="102">
        <f t="shared" si="27"/>
      </c>
      <c r="U38" s="102">
        <f t="shared" si="27"/>
      </c>
      <c r="V38" s="102">
        <f t="shared" si="27"/>
      </c>
      <c r="W38" s="102">
        <f t="shared" si="27"/>
      </c>
      <c r="X38" s="102">
        <f t="shared" si="27"/>
      </c>
      <c r="Y38" s="102">
        <f t="shared" si="27"/>
      </c>
      <c r="Z38" s="102">
        <f t="shared" si="27"/>
      </c>
      <c r="AA38" s="102">
        <f t="shared" si="27"/>
      </c>
      <c r="AB38" s="102">
        <f t="shared" si="27"/>
      </c>
      <c r="AC38" s="102">
        <f t="shared" si="27"/>
      </c>
      <c r="AD38" s="102">
        <f t="shared" si="27"/>
      </c>
      <c r="AE38" s="102">
        <f t="shared" si="27"/>
      </c>
      <c r="AF38" s="102">
        <f t="shared" si="27"/>
      </c>
      <c r="AG38" s="102">
        <f t="shared" si="27"/>
      </c>
      <c r="AH38" s="102">
        <f t="shared" si="27"/>
      </c>
      <c r="AI38" s="102">
        <f t="shared" si="27"/>
      </c>
      <c r="AJ38" s="102">
        <f t="shared" si="27"/>
      </c>
      <c r="AK38" s="102">
        <f t="shared" si="27"/>
      </c>
      <c r="AL38" s="102">
        <f t="shared" si="27"/>
      </c>
      <c r="AM38" s="102">
        <f t="shared" si="27"/>
      </c>
      <c r="AN38" s="102">
        <f t="shared" si="27"/>
      </c>
      <c r="AO38" s="102">
        <f t="shared" si="27"/>
      </c>
      <c r="AP38" s="102">
        <f t="shared" si="27"/>
      </c>
      <c r="AQ38" s="102">
        <f t="shared" si="27"/>
      </c>
      <c r="AR38" s="102">
        <f t="shared" si="27"/>
      </c>
      <c r="AS38" s="102">
        <f t="shared" si="27"/>
      </c>
      <c r="AT38" s="102">
        <f t="shared" si="27"/>
      </c>
      <c r="AU38" s="102">
        <f t="shared" si="27"/>
      </c>
      <c r="AV38" s="102">
        <f t="shared" si="27"/>
      </c>
      <c r="AW38" s="102">
        <f t="shared" si="27"/>
      </c>
      <c r="AX38" s="102">
        <f t="shared" si="27"/>
      </c>
      <c r="AY38" s="102">
        <f t="shared" si="27"/>
      </c>
      <c r="AZ38" s="102">
        <f t="shared" si="27"/>
      </c>
      <c r="BA38" s="102">
        <f t="shared" si="27"/>
      </c>
      <c r="BB38" s="102">
        <f t="shared" si="27"/>
      </c>
      <c r="BC38" s="102">
        <f t="shared" si="27"/>
      </c>
      <c r="BD38" s="102">
        <f t="shared" si="27"/>
      </c>
      <c r="BE38" s="103">
        <f t="shared" si="27"/>
      </c>
      <c r="BG38" s="75" t="str">
        <f t="shared" si="6"/>
        <v>---</v>
      </c>
      <c r="BH38" s="75" t="str">
        <f t="shared" si="7"/>
        <v>---</v>
      </c>
      <c r="BJ38" s="13"/>
    </row>
    <row r="39" spans="2:62" ht="12.75" customHeight="1">
      <c r="B39" s="45"/>
      <c r="C39" s="46"/>
      <c r="D39" s="176">
        <v>0</v>
      </c>
      <c r="E39" s="198">
        <f>IF(D39="","",Tech!C39)</f>
        <v>1.7644235816254799</v>
      </c>
      <c r="F39" s="187">
        <f t="shared" si="25"/>
        <v>2.59013459369406E-06</v>
      </c>
      <c r="G39" s="133">
        <f t="shared" si="27"/>
        <v>0.1712854901387128</v>
      </c>
      <c r="H39" s="98">
        <f t="shared" si="27"/>
        <v>0.3022201579910235</v>
      </c>
      <c r="I39" s="98">
        <f t="shared" si="27"/>
        <v>0.26662218680097</v>
      </c>
      <c r="J39" s="98">
        <f t="shared" si="27"/>
        <v>0.1568114912587284</v>
      </c>
      <c r="K39" s="98">
        <f t="shared" si="27"/>
        <v>0.06917047326168954</v>
      </c>
      <c r="L39" s="98">
        <f t="shared" si="27"/>
        <v>0.024409202835023954</v>
      </c>
      <c r="M39" s="98">
        <f t="shared" si="27"/>
        <v>0.007178028848465963</v>
      </c>
      <c r="N39" s="98">
        <f t="shared" si="27"/>
        <v>0.00180929762426019</v>
      </c>
      <c r="O39" s="98">
        <f t="shared" si="27"/>
        <v>0.00039904592430295454</v>
      </c>
      <c r="P39" s="98">
        <f t="shared" si="27"/>
        <v>7.82317821101855E-05</v>
      </c>
      <c r="Q39" s="98">
        <f t="shared" si="27"/>
        <v>1.380340011877976E-05</v>
      </c>
      <c r="R39" s="98">
        <f t="shared" si="27"/>
      </c>
      <c r="S39" s="98">
        <f t="shared" si="27"/>
      </c>
      <c r="T39" s="98">
        <f t="shared" si="27"/>
      </c>
      <c r="U39" s="98">
        <f t="shared" si="27"/>
      </c>
      <c r="V39" s="98">
        <f t="shared" si="27"/>
      </c>
      <c r="W39" s="98">
        <f t="shared" si="27"/>
      </c>
      <c r="X39" s="98">
        <f t="shared" si="27"/>
      </c>
      <c r="Y39" s="98">
        <f t="shared" si="27"/>
      </c>
      <c r="Z39" s="98">
        <f t="shared" si="27"/>
      </c>
      <c r="AA39" s="98">
        <f t="shared" si="27"/>
      </c>
      <c r="AB39" s="98">
        <f t="shared" si="27"/>
      </c>
      <c r="AC39" s="98">
        <f t="shared" si="27"/>
      </c>
      <c r="AD39" s="98">
        <f t="shared" si="27"/>
      </c>
      <c r="AE39" s="98">
        <f t="shared" si="27"/>
      </c>
      <c r="AF39" s="98">
        <f t="shared" si="27"/>
      </c>
      <c r="AG39" s="98">
        <f t="shared" si="27"/>
      </c>
      <c r="AH39" s="98">
        <f t="shared" si="27"/>
      </c>
      <c r="AI39" s="98">
        <f t="shared" si="27"/>
      </c>
      <c r="AJ39" s="98">
        <f t="shared" si="27"/>
      </c>
      <c r="AK39" s="98">
        <f t="shared" si="27"/>
      </c>
      <c r="AL39" s="98">
        <f t="shared" si="27"/>
      </c>
      <c r="AM39" s="98">
        <f t="shared" si="27"/>
      </c>
      <c r="AN39" s="98">
        <f t="shared" si="27"/>
      </c>
      <c r="AO39" s="98">
        <f t="shared" si="27"/>
      </c>
      <c r="AP39" s="98">
        <f t="shared" si="27"/>
      </c>
      <c r="AQ39" s="98">
        <f t="shared" si="27"/>
      </c>
      <c r="AR39" s="98">
        <f t="shared" si="27"/>
      </c>
      <c r="AS39" s="98">
        <f t="shared" si="27"/>
      </c>
      <c r="AT39" s="98">
        <f t="shared" si="27"/>
      </c>
      <c r="AU39" s="98">
        <f t="shared" si="27"/>
      </c>
      <c r="AV39" s="98">
        <f t="shared" si="27"/>
      </c>
      <c r="AW39" s="98">
        <f t="shared" si="27"/>
      </c>
      <c r="AX39" s="98">
        <f t="shared" si="27"/>
      </c>
      <c r="AY39" s="98">
        <f t="shared" si="27"/>
      </c>
      <c r="AZ39" s="98">
        <f t="shared" si="27"/>
      </c>
      <c r="BA39" s="98">
        <f t="shared" si="27"/>
      </c>
      <c r="BB39" s="98">
        <f t="shared" si="27"/>
      </c>
      <c r="BC39" s="98">
        <f t="shared" si="27"/>
      </c>
      <c r="BD39" s="98">
        <f t="shared" si="27"/>
      </c>
      <c r="BE39" s="99">
        <f t="shared" si="27"/>
      </c>
      <c r="BG39" s="75" t="str">
        <f t="shared" si="6"/>
        <v>---</v>
      </c>
      <c r="BH39" s="75" t="str">
        <f t="shared" si="7"/>
        <v>---</v>
      </c>
      <c r="BJ39" s="13"/>
    </row>
    <row r="40" spans="2:62" ht="12.75" customHeight="1">
      <c r="B40" s="45"/>
      <c r="C40" s="46"/>
      <c r="D40" s="176">
        <v>1</v>
      </c>
      <c r="E40" s="198">
        <f>IF(D40="","",Tech!C40)</f>
        <v>1.4665920183731642</v>
      </c>
      <c r="F40" s="187">
        <f t="shared" si="25"/>
        <v>4.4392016451677563E-07</v>
      </c>
      <c r="G40" s="133">
        <f aca="true" t="shared" si="28" ref="G40:BE43">IF(OR(G$14&gt;NmPc,ChV=""),"",POISSON(G$14,+Expps,FALSE))</f>
        <v>0.23071040375011043</v>
      </c>
      <c r="H40" s="98">
        <f t="shared" si="28"/>
        <v>0.3383580366955621</v>
      </c>
      <c r="I40" s="98">
        <f t="shared" si="28"/>
        <v>0.24811659798506275</v>
      </c>
      <c r="J40" s="98">
        <f t="shared" si="28"/>
        <v>0.12129527407693205</v>
      </c>
      <c r="K40" s="98">
        <f t="shared" si="28"/>
        <v>0.04447267020690348</v>
      </c>
      <c r="L40" s="98">
        <f t="shared" si="28"/>
        <v>0.013044652632237332</v>
      </c>
      <c r="M40" s="98">
        <f t="shared" si="28"/>
        <v>0.0031885305721482925</v>
      </c>
      <c r="N40" s="98">
        <f t="shared" si="28"/>
        <v>0.0006680390696359294</v>
      </c>
      <c r="O40" s="98">
        <f t="shared" si="28"/>
        <v>0.00012246759593618605</v>
      </c>
      <c r="P40" s="98">
        <f t="shared" si="28"/>
        <v>1.9956666523262242E-05</v>
      </c>
      <c r="Q40" s="98">
        <f t="shared" si="28"/>
        <v>2.9268287836351337E-06</v>
      </c>
      <c r="R40" s="98">
        <f t="shared" si="28"/>
      </c>
      <c r="S40" s="98">
        <f t="shared" si="28"/>
      </c>
      <c r="T40" s="98">
        <f t="shared" si="28"/>
      </c>
      <c r="U40" s="98">
        <f t="shared" si="28"/>
      </c>
      <c r="V40" s="98">
        <f t="shared" si="28"/>
      </c>
      <c r="W40" s="98">
        <f t="shared" si="28"/>
      </c>
      <c r="X40" s="98">
        <f t="shared" si="28"/>
      </c>
      <c r="Y40" s="98">
        <f t="shared" si="28"/>
      </c>
      <c r="Z40" s="98">
        <f t="shared" si="28"/>
      </c>
      <c r="AA40" s="98">
        <f t="shared" si="28"/>
      </c>
      <c r="AB40" s="98">
        <f t="shared" si="28"/>
      </c>
      <c r="AC40" s="98">
        <f t="shared" si="28"/>
      </c>
      <c r="AD40" s="98">
        <f t="shared" si="28"/>
      </c>
      <c r="AE40" s="98">
        <f t="shared" si="28"/>
      </c>
      <c r="AF40" s="98">
        <f t="shared" si="28"/>
      </c>
      <c r="AG40" s="98">
        <f t="shared" si="28"/>
      </c>
      <c r="AH40" s="98">
        <f t="shared" si="28"/>
      </c>
      <c r="AI40" s="98">
        <f t="shared" si="28"/>
      </c>
      <c r="AJ40" s="98">
        <f t="shared" si="28"/>
      </c>
      <c r="AK40" s="98">
        <f t="shared" si="28"/>
      </c>
      <c r="AL40" s="98">
        <f t="shared" si="28"/>
      </c>
      <c r="AM40" s="98">
        <f t="shared" si="28"/>
      </c>
      <c r="AN40" s="98">
        <f t="shared" si="28"/>
      </c>
      <c r="AO40" s="98">
        <f t="shared" si="28"/>
      </c>
      <c r="AP40" s="98">
        <f t="shared" si="28"/>
      </c>
      <c r="AQ40" s="98">
        <f t="shared" si="28"/>
      </c>
      <c r="AR40" s="98">
        <f t="shared" si="28"/>
      </c>
      <c r="AS40" s="98">
        <f t="shared" si="28"/>
      </c>
      <c r="AT40" s="98">
        <f t="shared" si="28"/>
      </c>
      <c r="AU40" s="98">
        <f t="shared" si="28"/>
      </c>
      <c r="AV40" s="98">
        <f t="shared" si="28"/>
      </c>
      <c r="AW40" s="98">
        <f t="shared" si="28"/>
      </c>
      <c r="AX40" s="98">
        <f t="shared" si="28"/>
      </c>
      <c r="AY40" s="98">
        <f t="shared" si="28"/>
      </c>
      <c r="AZ40" s="98">
        <f t="shared" si="28"/>
      </c>
      <c r="BA40" s="98">
        <f t="shared" si="28"/>
      </c>
      <c r="BB40" s="98">
        <f t="shared" si="28"/>
      </c>
      <c r="BC40" s="98">
        <f t="shared" si="28"/>
      </c>
      <c r="BD40" s="98">
        <f t="shared" si="28"/>
      </c>
      <c r="BE40" s="99">
        <f t="shared" si="28"/>
      </c>
      <c r="BG40" s="75" t="str">
        <f t="shared" si="6"/>
        <v>---</v>
      </c>
      <c r="BH40" s="75" t="str">
        <f t="shared" si="7"/>
        <v>---</v>
      </c>
      <c r="BJ40" s="13"/>
    </row>
    <row r="41" spans="2:62" ht="12.75" customHeight="1">
      <c r="B41" s="43" t="s">
        <v>59</v>
      </c>
      <c r="C41" s="44" t="s">
        <v>68</v>
      </c>
      <c r="D41" s="176">
        <v>2</v>
      </c>
      <c r="E41" s="198">
        <f>IF(D41="","",Tech!C41)</f>
        <v>1.219033893422778</v>
      </c>
      <c r="F41" s="187">
        <f t="shared" si="25"/>
        <v>7.272916746625668E-08</v>
      </c>
      <c r="G41" s="133">
        <f t="shared" si="28"/>
        <v>0.2955155285527516</v>
      </c>
      <c r="H41" s="98">
        <f t="shared" si="28"/>
        <v>0.3602434453385509</v>
      </c>
      <c r="I41" s="98">
        <f t="shared" si="28"/>
        <v>0.2195744848755447</v>
      </c>
      <c r="J41" s="98">
        <f t="shared" si="28"/>
        <v>0.08922291306471204</v>
      </c>
      <c r="K41" s="98">
        <f t="shared" si="28"/>
        <v>0.027191438773949493</v>
      </c>
      <c r="L41" s="98">
        <f t="shared" si="28"/>
        <v>0.006629457095274948</v>
      </c>
      <c r="M41" s="98">
        <f t="shared" si="28"/>
        <v>0.001346922149022047</v>
      </c>
      <c r="N41" s="98">
        <f t="shared" si="28"/>
        <v>0.00023456339306567443</v>
      </c>
      <c r="O41" s="98">
        <f t="shared" si="28"/>
        <v>3.574259078791332E-05</v>
      </c>
      <c r="P41" s="98">
        <f t="shared" si="28"/>
        <v>4.841269956578565E-06</v>
      </c>
      <c r="Q41" s="98">
        <f t="shared" si="28"/>
        <v>5.901672164278691E-07</v>
      </c>
      <c r="R41" s="98">
        <f t="shared" si="28"/>
      </c>
      <c r="S41" s="98">
        <f t="shared" si="28"/>
      </c>
      <c r="T41" s="98">
        <f t="shared" si="28"/>
      </c>
      <c r="U41" s="98">
        <f t="shared" si="28"/>
      </c>
      <c r="V41" s="98">
        <f t="shared" si="28"/>
      </c>
      <c r="W41" s="98">
        <f t="shared" si="28"/>
      </c>
      <c r="X41" s="98">
        <f t="shared" si="28"/>
      </c>
      <c r="Y41" s="98">
        <f t="shared" si="28"/>
      </c>
      <c r="Z41" s="98">
        <f t="shared" si="28"/>
      </c>
      <c r="AA41" s="98">
        <f t="shared" si="28"/>
      </c>
      <c r="AB41" s="98">
        <f t="shared" si="28"/>
      </c>
      <c r="AC41" s="98">
        <f t="shared" si="28"/>
      </c>
      <c r="AD41" s="98">
        <f t="shared" si="28"/>
      </c>
      <c r="AE41" s="98">
        <f t="shared" si="28"/>
      </c>
      <c r="AF41" s="98">
        <f t="shared" si="28"/>
      </c>
      <c r="AG41" s="98">
        <f t="shared" si="28"/>
      </c>
      <c r="AH41" s="98">
        <f t="shared" si="28"/>
      </c>
      <c r="AI41" s="98">
        <f t="shared" si="28"/>
      </c>
      <c r="AJ41" s="98">
        <f t="shared" si="28"/>
      </c>
      <c r="AK41" s="98">
        <f t="shared" si="28"/>
      </c>
      <c r="AL41" s="98">
        <f t="shared" si="28"/>
      </c>
      <c r="AM41" s="98">
        <f t="shared" si="28"/>
      </c>
      <c r="AN41" s="98">
        <f t="shared" si="28"/>
      </c>
      <c r="AO41" s="98">
        <f t="shared" si="28"/>
      </c>
      <c r="AP41" s="98">
        <f t="shared" si="28"/>
      </c>
      <c r="AQ41" s="98">
        <f t="shared" si="28"/>
      </c>
      <c r="AR41" s="98">
        <f t="shared" si="28"/>
      </c>
      <c r="AS41" s="98">
        <f t="shared" si="28"/>
      </c>
      <c r="AT41" s="98">
        <f t="shared" si="28"/>
      </c>
      <c r="AU41" s="98">
        <f t="shared" si="28"/>
      </c>
      <c r="AV41" s="98">
        <f t="shared" si="28"/>
      </c>
      <c r="AW41" s="98">
        <f t="shared" si="28"/>
      </c>
      <c r="AX41" s="98">
        <f t="shared" si="28"/>
      </c>
      <c r="AY41" s="98">
        <f t="shared" si="28"/>
      </c>
      <c r="AZ41" s="98">
        <f t="shared" si="28"/>
      </c>
      <c r="BA41" s="98">
        <f t="shared" si="28"/>
      </c>
      <c r="BB41" s="98">
        <f t="shared" si="28"/>
      </c>
      <c r="BC41" s="98">
        <f t="shared" si="28"/>
      </c>
      <c r="BD41" s="98">
        <f t="shared" si="28"/>
      </c>
      <c r="BE41" s="99">
        <f t="shared" si="28"/>
      </c>
      <c r="BG41" s="75" t="str">
        <f t="shared" si="6"/>
        <v>---</v>
      </c>
      <c r="BH41" s="75" t="str">
        <f t="shared" si="7"/>
        <v>---</v>
      </c>
      <c r="BJ41" s="13"/>
    </row>
    <row r="42" spans="2:62" ht="12.75" customHeight="1">
      <c r="B42" s="45"/>
      <c r="C42" s="13"/>
      <c r="D42" s="176">
        <v>3</v>
      </c>
      <c r="E42" s="198">
        <f>IF(D42="","",Tech!C42)</f>
        <v>1.0132631397802845</v>
      </c>
      <c r="F42" s="187">
        <f t="shared" si="25"/>
        <v>1.1475466021870773E-08</v>
      </c>
      <c r="G42" s="133">
        <f t="shared" si="28"/>
        <v>0.36303241913970474</v>
      </c>
      <c r="H42" s="98">
        <f t="shared" si="28"/>
        <v>0.36784736885952946</v>
      </c>
      <c r="I42" s="98">
        <f t="shared" si="28"/>
        <v>0.18636308996526163</v>
      </c>
      <c r="J42" s="98">
        <f t="shared" si="28"/>
        <v>0.06294494989245221</v>
      </c>
      <c r="K42" s="98">
        <f t="shared" si="28"/>
        <v>0.015944949390334702</v>
      </c>
      <c r="L42" s="98">
        <f t="shared" si="28"/>
        <v>0.0032312858965776545</v>
      </c>
      <c r="M42" s="98">
        <f t="shared" si="28"/>
        <v>0.0005456904821823376</v>
      </c>
      <c r="N42" s="98">
        <f t="shared" si="28"/>
        <v>7.898972161775612E-05</v>
      </c>
      <c r="O42" s="98">
        <f t="shared" si="28"/>
        <v>1.0004671667097272E-05</v>
      </c>
      <c r="P42" s="98">
        <f t="shared" si="28"/>
        <v>1.1263738917637594E-06</v>
      </c>
      <c r="Q42" s="98">
        <f t="shared" si="28"/>
        <v>1.1413131461350852E-07</v>
      </c>
      <c r="R42" s="98">
        <f t="shared" si="28"/>
      </c>
      <c r="S42" s="98">
        <f t="shared" si="28"/>
      </c>
      <c r="T42" s="98">
        <f t="shared" si="28"/>
      </c>
      <c r="U42" s="98">
        <f t="shared" si="28"/>
      </c>
      <c r="V42" s="98">
        <f t="shared" si="28"/>
      </c>
      <c r="W42" s="98">
        <f t="shared" si="28"/>
      </c>
      <c r="X42" s="98">
        <f t="shared" si="28"/>
      </c>
      <c r="Y42" s="98">
        <f t="shared" si="28"/>
      </c>
      <c r="Z42" s="98">
        <f t="shared" si="28"/>
      </c>
      <c r="AA42" s="98">
        <f t="shared" si="28"/>
      </c>
      <c r="AB42" s="98">
        <f t="shared" si="28"/>
      </c>
      <c r="AC42" s="98">
        <f t="shared" si="28"/>
      </c>
      <c r="AD42" s="98">
        <f t="shared" si="28"/>
      </c>
      <c r="AE42" s="98">
        <f t="shared" si="28"/>
      </c>
      <c r="AF42" s="98">
        <f t="shared" si="28"/>
      </c>
      <c r="AG42" s="98">
        <f t="shared" si="28"/>
      </c>
      <c r="AH42" s="98">
        <f t="shared" si="28"/>
      </c>
      <c r="AI42" s="98">
        <f t="shared" si="28"/>
      </c>
      <c r="AJ42" s="98">
        <f t="shared" si="28"/>
      </c>
      <c r="AK42" s="98">
        <f t="shared" si="28"/>
      </c>
      <c r="AL42" s="98">
        <f t="shared" si="28"/>
      </c>
      <c r="AM42" s="98">
        <f t="shared" si="28"/>
      </c>
      <c r="AN42" s="98">
        <f t="shared" si="28"/>
      </c>
      <c r="AO42" s="98">
        <f t="shared" si="28"/>
      </c>
      <c r="AP42" s="98">
        <f t="shared" si="28"/>
      </c>
      <c r="AQ42" s="98">
        <f t="shared" si="28"/>
      </c>
      <c r="AR42" s="98">
        <f t="shared" si="28"/>
      </c>
      <c r="AS42" s="98">
        <f t="shared" si="28"/>
      </c>
      <c r="AT42" s="98">
        <f t="shared" si="28"/>
      </c>
      <c r="AU42" s="98">
        <f t="shared" si="28"/>
      </c>
      <c r="AV42" s="98">
        <f t="shared" si="28"/>
      </c>
      <c r="AW42" s="98">
        <f t="shared" si="28"/>
      </c>
      <c r="AX42" s="98">
        <f t="shared" si="28"/>
      </c>
      <c r="AY42" s="98">
        <f t="shared" si="28"/>
      </c>
      <c r="AZ42" s="98">
        <f t="shared" si="28"/>
      </c>
      <c r="BA42" s="98">
        <f t="shared" si="28"/>
      </c>
      <c r="BB42" s="98">
        <f t="shared" si="28"/>
      </c>
      <c r="BC42" s="98">
        <f t="shared" si="28"/>
      </c>
      <c r="BD42" s="98">
        <f t="shared" si="28"/>
      </c>
      <c r="BE42" s="99">
        <f t="shared" si="28"/>
      </c>
      <c r="BG42" s="75" t="str">
        <f t="shared" si="6"/>
        <v>---</v>
      </c>
      <c r="BH42" s="75" t="str">
        <f t="shared" si="7"/>
        <v>---</v>
      </c>
      <c r="BJ42" s="13"/>
    </row>
    <row r="43" spans="2:62" ht="12.75" customHeight="1">
      <c r="B43" s="45"/>
      <c r="C43" s="23"/>
      <c r="D43" s="179">
        <v>4</v>
      </c>
      <c r="E43" s="199">
        <f>IF(D43="","",Tech!C43)</f>
        <v>0.8422261234711426</v>
      </c>
      <c r="F43" s="190">
        <f t="shared" si="25"/>
        <v>1.7547022723718442E-09</v>
      </c>
      <c r="G43" s="116">
        <f t="shared" si="28"/>
        <v>0.430750551404701</v>
      </c>
      <c r="H43" s="117">
        <f t="shared" si="28"/>
        <v>0.3627893670926384</v>
      </c>
      <c r="I43" s="117">
        <f t="shared" si="28"/>
        <v>0.15277534114149108</v>
      </c>
      <c r="J43" s="117">
        <f t="shared" si="28"/>
        <v>0.042890461110526475</v>
      </c>
      <c r="K43" s="117">
        <f t="shared" si="28"/>
        <v>0.009030866698752126</v>
      </c>
      <c r="L43" s="117">
        <f t="shared" si="28"/>
        <v>0.0015212063702549274</v>
      </c>
      <c r="M43" s="117">
        <f t="shared" si="28"/>
        <v>0.0002135332907032359</v>
      </c>
      <c r="N43" s="117">
        <f t="shared" si="28"/>
        <v>2.569190223728898E-05</v>
      </c>
      <c r="O43" s="117">
        <f t="shared" si="28"/>
        <v>2.7047989032389347E-06</v>
      </c>
      <c r="P43" s="117">
        <f t="shared" si="28"/>
        <v>2.531169216715474E-07</v>
      </c>
      <c r="Q43" s="117">
        <f t="shared" si="28"/>
        <v>2.131816837243761E-08</v>
      </c>
      <c r="R43" s="117">
        <f t="shared" si="28"/>
      </c>
      <c r="S43" s="117">
        <f t="shared" si="28"/>
      </c>
      <c r="T43" s="117">
        <f t="shared" si="28"/>
      </c>
      <c r="U43" s="117">
        <f t="shared" si="28"/>
      </c>
      <c r="V43" s="117">
        <f t="shared" si="28"/>
      </c>
      <c r="W43" s="117">
        <f t="shared" si="28"/>
      </c>
      <c r="X43" s="117">
        <f t="shared" si="28"/>
      </c>
      <c r="Y43" s="117">
        <f t="shared" si="28"/>
      </c>
      <c r="Z43" s="117">
        <f t="shared" si="28"/>
      </c>
      <c r="AA43" s="117">
        <f t="shared" si="28"/>
      </c>
      <c r="AB43" s="117">
        <f t="shared" si="28"/>
      </c>
      <c r="AC43" s="117">
        <f t="shared" si="28"/>
      </c>
      <c r="AD43" s="117">
        <f t="shared" si="28"/>
      </c>
      <c r="AE43" s="117">
        <f t="shared" si="28"/>
      </c>
      <c r="AF43" s="117">
        <f t="shared" si="28"/>
      </c>
      <c r="AG43" s="117">
        <f t="shared" si="28"/>
      </c>
      <c r="AH43" s="117">
        <f t="shared" si="28"/>
      </c>
      <c r="AI43" s="117">
        <f t="shared" si="28"/>
      </c>
      <c r="AJ43" s="117">
        <f t="shared" si="28"/>
      </c>
      <c r="AK43" s="117">
        <f t="shared" si="28"/>
      </c>
      <c r="AL43" s="117">
        <f t="shared" si="28"/>
      </c>
      <c r="AM43" s="117">
        <f t="shared" si="28"/>
      </c>
      <c r="AN43" s="117">
        <f t="shared" si="28"/>
      </c>
      <c r="AO43" s="117">
        <f t="shared" si="28"/>
      </c>
      <c r="AP43" s="117">
        <f t="shared" si="28"/>
      </c>
      <c r="AQ43" s="117">
        <f t="shared" si="28"/>
      </c>
      <c r="AR43" s="117">
        <f t="shared" si="28"/>
      </c>
      <c r="AS43" s="117">
        <f t="shared" si="28"/>
      </c>
      <c r="AT43" s="117">
        <f t="shared" si="28"/>
      </c>
      <c r="AU43" s="117">
        <f t="shared" si="28"/>
      </c>
      <c r="AV43" s="117">
        <f t="shared" si="28"/>
      </c>
      <c r="AW43" s="117">
        <f t="shared" si="28"/>
      </c>
      <c r="AX43" s="117">
        <f t="shared" si="28"/>
      </c>
      <c r="AY43" s="117">
        <f t="shared" si="28"/>
      </c>
      <c r="AZ43" s="117">
        <f t="shared" si="28"/>
      </c>
      <c r="BA43" s="117">
        <f t="shared" si="28"/>
      </c>
      <c r="BB43" s="117">
        <f t="shared" si="28"/>
      </c>
      <c r="BC43" s="117">
        <f t="shared" si="28"/>
      </c>
      <c r="BD43" s="117">
        <f t="shared" si="28"/>
      </c>
      <c r="BE43" s="118">
        <f t="shared" si="28"/>
      </c>
      <c r="BG43" s="75" t="str">
        <f t="shared" si="6"/>
        <v>---</v>
      </c>
      <c r="BH43" s="75" t="str">
        <f t="shared" si="7"/>
        <v>---</v>
      </c>
      <c r="BJ43" s="13"/>
    </row>
    <row r="44" spans="2:62" ht="18" customHeight="1">
      <c r="B44" s="136"/>
      <c r="C44" s="137"/>
      <c r="D44" s="138"/>
      <c r="E44" s="196" t="s">
        <v>133</v>
      </c>
      <c r="F44" s="139"/>
      <c r="G44" s="123" t="s">
        <v>52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7"/>
      <c r="BG44" s="75" t="str">
        <f t="shared" si="6"/>
        <v>---</v>
      </c>
      <c r="BH44" s="75" t="str">
        <f t="shared" si="7"/>
        <v>---</v>
      </c>
      <c r="BJ44" s="13"/>
    </row>
    <row r="45" spans="2:62" ht="12.75" customHeight="1">
      <c r="B45" s="140"/>
      <c r="C45" s="141" t="s">
        <v>37</v>
      </c>
      <c r="D45" s="142"/>
      <c r="E45" s="196" t="s">
        <v>135</v>
      </c>
      <c r="F45" s="90" t="s">
        <v>53</v>
      </c>
      <c r="G45" s="56">
        <v>0</v>
      </c>
      <c r="H45" s="23">
        <v>1</v>
      </c>
      <c r="I45" s="23">
        <v>2</v>
      </c>
      <c r="J45" s="23">
        <v>3</v>
      </c>
      <c r="K45" s="23">
        <v>4</v>
      </c>
      <c r="L45" s="23">
        <v>5</v>
      </c>
      <c r="M45" s="23">
        <v>6</v>
      </c>
      <c r="N45" s="23">
        <v>7</v>
      </c>
      <c r="O45" s="23">
        <v>8</v>
      </c>
      <c r="P45" s="23">
        <v>9</v>
      </c>
      <c r="Q45" s="23">
        <v>10</v>
      </c>
      <c r="R45" s="23">
        <v>11</v>
      </c>
      <c r="S45" s="23">
        <v>12</v>
      </c>
      <c r="T45" s="23">
        <v>13</v>
      </c>
      <c r="U45" s="23">
        <v>14</v>
      </c>
      <c r="V45" s="23">
        <v>15</v>
      </c>
      <c r="W45" s="23">
        <v>16</v>
      </c>
      <c r="X45" s="23">
        <v>17</v>
      </c>
      <c r="Y45" s="23">
        <v>18</v>
      </c>
      <c r="Z45" s="23">
        <v>19</v>
      </c>
      <c r="AA45" s="23">
        <v>20</v>
      </c>
      <c r="AB45" s="23">
        <v>21</v>
      </c>
      <c r="AC45" s="23">
        <v>22</v>
      </c>
      <c r="AD45" s="23">
        <v>23</v>
      </c>
      <c r="AE45" s="23">
        <v>24</v>
      </c>
      <c r="AF45" s="23">
        <v>25</v>
      </c>
      <c r="AG45" s="23">
        <v>26</v>
      </c>
      <c r="AH45" s="23">
        <v>27</v>
      </c>
      <c r="AI45" s="23">
        <v>28</v>
      </c>
      <c r="AJ45" s="23">
        <v>29</v>
      </c>
      <c r="AK45" s="23">
        <v>30</v>
      </c>
      <c r="AL45" s="23">
        <v>31</v>
      </c>
      <c r="AM45" s="23">
        <v>32</v>
      </c>
      <c r="AN45" s="23">
        <v>33</v>
      </c>
      <c r="AO45" s="23">
        <v>34</v>
      </c>
      <c r="AP45" s="23">
        <v>35</v>
      </c>
      <c r="AQ45" s="23">
        <v>36</v>
      </c>
      <c r="AR45" s="23">
        <v>37</v>
      </c>
      <c r="AS45" s="23">
        <v>38</v>
      </c>
      <c r="AT45" s="23">
        <v>39</v>
      </c>
      <c r="AU45" s="23">
        <v>40</v>
      </c>
      <c r="AV45" s="23">
        <v>41</v>
      </c>
      <c r="AW45" s="23">
        <v>42</v>
      </c>
      <c r="AX45" s="23">
        <v>43</v>
      </c>
      <c r="AY45" s="23">
        <v>44</v>
      </c>
      <c r="AZ45" s="23">
        <v>45</v>
      </c>
      <c r="BA45" s="23">
        <v>46</v>
      </c>
      <c r="BB45" s="23">
        <v>47</v>
      </c>
      <c r="BC45" s="23">
        <v>48</v>
      </c>
      <c r="BD45" s="23">
        <v>49</v>
      </c>
      <c r="BE45" s="91">
        <v>50</v>
      </c>
      <c r="BG45" s="75" t="str">
        <f t="shared" si="6"/>
        <v>---</v>
      </c>
      <c r="BH45" s="75" t="str">
        <f t="shared" si="7"/>
        <v>---</v>
      </c>
      <c r="BJ45" s="13"/>
    </row>
    <row r="46" spans="2:62" ht="12.75" customHeight="1">
      <c r="B46" s="45"/>
      <c r="C46" s="13"/>
      <c r="D46" s="181">
        <f aca="true" t="shared" si="29" ref="D46:D60">IF(D29="","",D29)</f>
        <v>0</v>
      </c>
      <c r="E46" s="197">
        <f>IF(D46="","",Tech!E46)</f>
        <v>1.5278584353369415</v>
      </c>
      <c r="F46" s="191">
        <f aca="true" t="shared" si="30" ref="F46:F60">IF(D46="","",1-SUM(G46:BE46))</f>
        <v>0.0005208362071766892</v>
      </c>
      <c r="G46" s="131">
        <f aca="true" t="shared" si="31" ref="G46:P60">IF(OR(G$14&gt;NmPc,$D46=""),"",nbt(inva,+Expns,G$14)*Constant*G$20)</f>
        <v>0.3111000250452054</v>
      </c>
      <c r="H46" s="132">
        <f t="shared" si="31"/>
        <v>0.28381636084705036</v>
      </c>
      <c r="I46" s="132">
        <f t="shared" si="31"/>
        <v>0.186636147783617</v>
      </c>
      <c r="J46" s="132">
        <f t="shared" si="31"/>
        <v>0.10688525283702296</v>
      </c>
      <c r="K46" s="132">
        <f t="shared" si="31"/>
        <v>0.056675095972451836</v>
      </c>
      <c r="L46" s="132">
        <f t="shared" si="31"/>
        <v>0.02860799951824036</v>
      </c>
      <c r="M46" s="132">
        <f t="shared" si="31"/>
        <v>0.013954743435418145</v>
      </c>
      <c r="N46" s="132">
        <f t="shared" si="31"/>
        <v>0.006637753213898847</v>
      </c>
      <c r="O46" s="132">
        <f t="shared" si="31"/>
        <v>0.003096951749973482</v>
      </c>
      <c r="P46" s="132">
        <f t="shared" si="31"/>
        <v>0.0014230218900201847</v>
      </c>
      <c r="Q46" s="132">
        <f aca="true" t="shared" si="32" ref="Q46:Z60">IF(OR(Q$14&gt;NmPc,$D46=""),"",nbt(inva,+Expns,Q$14)*Constant*Q$20)</f>
        <v>0.0006458114999247752</v>
      </c>
      <c r="R46" s="132">
        <f t="shared" si="32"/>
      </c>
      <c r="S46" s="132">
        <f t="shared" si="32"/>
      </c>
      <c r="T46" s="132">
        <f t="shared" si="32"/>
      </c>
      <c r="U46" s="132">
        <f t="shared" si="32"/>
      </c>
      <c r="V46" s="132">
        <f t="shared" si="32"/>
      </c>
      <c r="W46" s="132">
        <f t="shared" si="32"/>
      </c>
      <c r="X46" s="132">
        <f t="shared" si="32"/>
      </c>
      <c r="Y46" s="132">
        <f t="shared" si="32"/>
      </c>
      <c r="Z46" s="132">
        <f t="shared" si="32"/>
      </c>
      <c r="AA46" s="132">
        <f aca="true" t="shared" si="33" ref="AA46:AJ60">IF(OR(AA$14&gt;NmPc,$D46=""),"",nbt(inva,+Expns,AA$14)*Constant*AA$20)</f>
      </c>
      <c r="AB46" s="132">
        <f t="shared" si="33"/>
      </c>
      <c r="AC46" s="132">
        <f t="shared" si="33"/>
      </c>
      <c r="AD46" s="132">
        <f t="shared" si="33"/>
      </c>
      <c r="AE46" s="132">
        <f t="shared" si="33"/>
      </c>
      <c r="AF46" s="132">
        <f t="shared" si="33"/>
      </c>
      <c r="AG46" s="132">
        <f t="shared" si="33"/>
      </c>
      <c r="AH46" s="132">
        <f t="shared" si="33"/>
      </c>
      <c r="AI46" s="132">
        <f t="shared" si="33"/>
      </c>
      <c r="AJ46" s="132">
        <f t="shared" si="33"/>
      </c>
      <c r="AK46" s="132">
        <f aca="true" t="shared" si="34" ref="AK46:AT60">IF(OR(AK$14&gt;NmPc,$D46=""),"",nbt(inva,+Expns,AK$14)*Constant*AK$20)</f>
      </c>
      <c r="AL46" s="132">
        <f t="shared" si="34"/>
      </c>
      <c r="AM46" s="132">
        <f t="shared" si="34"/>
      </c>
      <c r="AN46" s="132">
        <f t="shared" si="34"/>
      </c>
      <c r="AO46" s="132">
        <f t="shared" si="34"/>
      </c>
      <c r="AP46" s="132">
        <f t="shared" si="34"/>
      </c>
      <c r="AQ46" s="132">
        <f t="shared" si="34"/>
      </c>
      <c r="AR46" s="132">
        <f t="shared" si="34"/>
      </c>
      <c r="AS46" s="132">
        <f t="shared" si="34"/>
      </c>
      <c r="AT46" s="132">
        <f t="shared" si="34"/>
      </c>
      <c r="AU46" s="132">
        <f aca="true" t="shared" si="35" ref="AU46:BE60">IF(OR(AU$14&gt;NmPc,$D46=""),"",nbt(inva,+Expns,AU$14)*Constant*AU$20)</f>
      </c>
      <c r="AV46" s="132">
        <f t="shared" si="35"/>
      </c>
      <c r="AW46" s="132">
        <f t="shared" si="35"/>
      </c>
      <c r="AX46" s="132">
        <f t="shared" si="35"/>
      </c>
      <c r="AY46" s="132">
        <f t="shared" si="35"/>
      </c>
      <c r="AZ46" s="132">
        <f t="shared" si="35"/>
      </c>
      <c r="BA46" s="132">
        <f t="shared" si="35"/>
      </c>
      <c r="BB46" s="132">
        <f t="shared" si="35"/>
      </c>
      <c r="BC46" s="132">
        <f t="shared" si="35"/>
      </c>
      <c r="BD46" s="132">
        <f t="shared" si="35"/>
      </c>
      <c r="BE46" s="132">
        <f t="shared" si="35"/>
      </c>
      <c r="BG46" s="75" t="str">
        <f t="shared" si="6"/>
        <v>---</v>
      </c>
      <c r="BH46" s="75" t="str">
        <f t="shared" si="7"/>
        <v>---</v>
      </c>
      <c r="BJ46" s="13"/>
    </row>
    <row r="47" spans="2:62" ht="12.75" customHeight="1">
      <c r="B47" s="45"/>
      <c r="C47" s="13"/>
      <c r="D47" s="182">
        <f t="shared" si="29"/>
        <v>1</v>
      </c>
      <c r="E47" s="198">
        <f>IF(D47="","",Tech!E47)</f>
        <v>1.5513697330194243</v>
      </c>
      <c r="F47" s="192">
        <f t="shared" si="30"/>
        <v>0.0005717278994314956</v>
      </c>
      <c r="G47" s="133">
        <f t="shared" si="31"/>
        <v>0.30677635482184723</v>
      </c>
      <c r="H47" s="98">
        <f t="shared" si="31"/>
        <v>0.28242765507350226</v>
      </c>
      <c r="I47" s="98">
        <f t="shared" si="31"/>
        <v>0.1874189547154187</v>
      </c>
      <c r="J47" s="98">
        <f t="shared" si="31"/>
        <v>0.10831372571712412</v>
      </c>
      <c r="K47" s="98">
        <f t="shared" si="31"/>
        <v>0.057957003898041516</v>
      </c>
      <c r="L47" s="98">
        <f t="shared" si="31"/>
        <v>0.02952222653181569</v>
      </c>
      <c r="M47" s="98">
        <f t="shared" si="31"/>
        <v>0.014532202171682326</v>
      </c>
      <c r="N47" s="98">
        <f t="shared" si="31"/>
        <v>0.0069755528420369145</v>
      </c>
      <c r="O47" s="98">
        <f t="shared" si="31"/>
        <v>0.0032842781186933553</v>
      </c>
      <c r="P47" s="98">
        <f t="shared" si="31"/>
        <v>0.001522877691747057</v>
      </c>
      <c r="Q47" s="98">
        <f t="shared" si="32"/>
        <v>0.0006974405186594261</v>
      </c>
      <c r="R47" s="98">
        <f t="shared" si="32"/>
      </c>
      <c r="S47" s="98">
        <f t="shared" si="32"/>
      </c>
      <c r="T47" s="98">
        <f t="shared" si="32"/>
      </c>
      <c r="U47" s="98">
        <f t="shared" si="32"/>
      </c>
      <c r="V47" s="98">
        <f t="shared" si="32"/>
      </c>
      <c r="W47" s="98">
        <f t="shared" si="32"/>
      </c>
      <c r="X47" s="98">
        <f t="shared" si="32"/>
      </c>
      <c r="Y47" s="98">
        <f t="shared" si="32"/>
      </c>
      <c r="Z47" s="98">
        <f t="shared" si="32"/>
      </c>
      <c r="AA47" s="98">
        <f t="shared" si="33"/>
      </c>
      <c r="AB47" s="98">
        <f t="shared" si="33"/>
      </c>
      <c r="AC47" s="98">
        <f t="shared" si="33"/>
      </c>
      <c r="AD47" s="98">
        <f t="shared" si="33"/>
      </c>
      <c r="AE47" s="98">
        <f t="shared" si="33"/>
      </c>
      <c r="AF47" s="98">
        <f t="shared" si="33"/>
      </c>
      <c r="AG47" s="98">
        <f t="shared" si="33"/>
      </c>
      <c r="AH47" s="98">
        <f t="shared" si="33"/>
      </c>
      <c r="AI47" s="98">
        <f t="shared" si="33"/>
      </c>
      <c r="AJ47" s="98">
        <f t="shared" si="33"/>
      </c>
      <c r="AK47" s="98">
        <f t="shared" si="34"/>
      </c>
      <c r="AL47" s="98">
        <f t="shared" si="34"/>
      </c>
      <c r="AM47" s="98">
        <f t="shared" si="34"/>
      </c>
      <c r="AN47" s="98">
        <f t="shared" si="34"/>
      </c>
      <c r="AO47" s="98">
        <f t="shared" si="34"/>
      </c>
      <c r="AP47" s="98">
        <f t="shared" si="34"/>
      </c>
      <c r="AQ47" s="98">
        <f t="shared" si="34"/>
      </c>
      <c r="AR47" s="98">
        <f t="shared" si="34"/>
      </c>
      <c r="AS47" s="98">
        <f t="shared" si="34"/>
      </c>
      <c r="AT47" s="98">
        <f t="shared" si="34"/>
      </c>
      <c r="AU47" s="98">
        <f t="shared" si="35"/>
      </c>
      <c r="AV47" s="98">
        <f t="shared" si="35"/>
      </c>
      <c r="AW47" s="98">
        <f t="shared" si="35"/>
      </c>
      <c r="AX47" s="98">
        <f t="shared" si="35"/>
      </c>
      <c r="AY47" s="98">
        <f t="shared" si="35"/>
      </c>
      <c r="AZ47" s="98">
        <f t="shared" si="35"/>
      </c>
      <c r="BA47" s="98">
        <f t="shared" si="35"/>
      </c>
      <c r="BB47" s="98">
        <f t="shared" si="35"/>
      </c>
      <c r="BC47" s="98">
        <f t="shared" si="35"/>
      </c>
      <c r="BD47" s="98">
        <f t="shared" si="35"/>
      </c>
      <c r="BE47" s="98">
        <f t="shared" si="35"/>
      </c>
      <c r="BG47" s="75" t="str">
        <f t="shared" si="6"/>
        <v>---</v>
      </c>
      <c r="BH47" s="75" t="str">
        <f t="shared" si="7"/>
        <v>---</v>
      </c>
      <c r="BJ47" s="13"/>
    </row>
    <row r="48" spans="2:62" ht="12.75" customHeight="1">
      <c r="B48" s="43" t="s">
        <v>57</v>
      </c>
      <c r="C48" s="143" t="str">
        <f>IF(C31="","",C31)</f>
        <v>phd</v>
      </c>
      <c r="D48" s="182">
        <f t="shared" si="29"/>
        <v>2</v>
      </c>
      <c r="E48" s="198">
        <f>IF(D48="","",Tech!E48)</f>
        <v>1.5752428319695702</v>
      </c>
      <c r="F48" s="192">
        <f t="shared" si="30"/>
        <v>0.0006271690134898034</v>
      </c>
      <c r="G48" s="133">
        <f t="shared" si="31"/>
        <v>0.30247423479591956</v>
      </c>
      <c r="H48" s="98">
        <f t="shared" si="31"/>
        <v>0.28099412800412055</v>
      </c>
      <c r="I48" s="98">
        <f t="shared" si="31"/>
        <v>0.18815989234809072</v>
      </c>
      <c r="J48" s="98">
        <f t="shared" si="31"/>
        <v>0.10972878226506708</v>
      </c>
      <c r="K48" s="98">
        <f t="shared" si="31"/>
        <v>0.05924702005814953</v>
      </c>
      <c r="L48" s="98">
        <f t="shared" si="31"/>
        <v>0.030453219570800275</v>
      </c>
      <c r="M48" s="98">
        <f t="shared" si="31"/>
        <v>0.015126521077645878</v>
      </c>
      <c r="N48" s="98">
        <f t="shared" si="31"/>
        <v>0.007326723109052229</v>
      </c>
      <c r="O48" s="98">
        <f t="shared" si="31"/>
        <v>0.003480924415882554</v>
      </c>
      <c r="P48" s="98">
        <f t="shared" si="31"/>
        <v>0.0016287079321776815</v>
      </c>
      <c r="Q48" s="98">
        <f t="shared" si="32"/>
        <v>0.000752677409604085</v>
      </c>
      <c r="R48" s="98">
        <f t="shared" si="32"/>
      </c>
      <c r="S48" s="98">
        <f t="shared" si="32"/>
      </c>
      <c r="T48" s="98">
        <f t="shared" si="32"/>
      </c>
      <c r="U48" s="98">
        <f t="shared" si="32"/>
      </c>
      <c r="V48" s="98">
        <f t="shared" si="32"/>
      </c>
      <c r="W48" s="98">
        <f t="shared" si="32"/>
      </c>
      <c r="X48" s="98">
        <f t="shared" si="32"/>
      </c>
      <c r="Y48" s="98">
        <f t="shared" si="32"/>
      </c>
      <c r="Z48" s="98">
        <f t="shared" si="32"/>
      </c>
      <c r="AA48" s="98">
        <f t="shared" si="33"/>
      </c>
      <c r="AB48" s="98">
        <f t="shared" si="33"/>
      </c>
      <c r="AC48" s="98">
        <f t="shared" si="33"/>
      </c>
      <c r="AD48" s="98">
        <f t="shared" si="33"/>
      </c>
      <c r="AE48" s="98">
        <f t="shared" si="33"/>
      </c>
      <c r="AF48" s="98">
        <f t="shared" si="33"/>
      </c>
      <c r="AG48" s="98">
        <f t="shared" si="33"/>
      </c>
      <c r="AH48" s="98">
        <f t="shared" si="33"/>
      </c>
      <c r="AI48" s="98">
        <f t="shared" si="33"/>
      </c>
      <c r="AJ48" s="98">
        <f t="shared" si="33"/>
      </c>
      <c r="AK48" s="98">
        <f t="shared" si="34"/>
      </c>
      <c r="AL48" s="98">
        <f t="shared" si="34"/>
      </c>
      <c r="AM48" s="98">
        <f t="shared" si="34"/>
      </c>
      <c r="AN48" s="98">
        <f t="shared" si="34"/>
      </c>
      <c r="AO48" s="98">
        <f t="shared" si="34"/>
      </c>
      <c r="AP48" s="98">
        <f t="shared" si="34"/>
      </c>
      <c r="AQ48" s="98">
        <f t="shared" si="34"/>
      </c>
      <c r="AR48" s="98">
        <f t="shared" si="34"/>
      </c>
      <c r="AS48" s="98">
        <f t="shared" si="34"/>
      </c>
      <c r="AT48" s="98">
        <f t="shared" si="34"/>
      </c>
      <c r="AU48" s="98">
        <f t="shared" si="35"/>
      </c>
      <c r="AV48" s="98">
        <f t="shared" si="35"/>
      </c>
      <c r="AW48" s="98">
        <f t="shared" si="35"/>
      </c>
      <c r="AX48" s="98">
        <f t="shared" si="35"/>
      </c>
      <c r="AY48" s="98">
        <f t="shared" si="35"/>
      </c>
      <c r="AZ48" s="98">
        <f t="shared" si="35"/>
      </c>
      <c r="BA48" s="98">
        <f t="shared" si="35"/>
      </c>
      <c r="BB48" s="98">
        <f t="shared" si="35"/>
      </c>
      <c r="BC48" s="98">
        <f t="shared" si="35"/>
      </c>
      <c r="BD48" s="98">
        <f t="shared" si="35"/>
      </c>
      <c r="BE48" s="98">
        <f t="shared" si="35"/>
      </c>
      <c r="BG48" s="75" t="str">
        <f t="shared" si="6"/>
        <v>---</v>
      </c>
      <c r="BH48" s="75" t="str">
        <f t="shared" si="7"/>
        <v>---</v>
      </c>
      <c r="BJ48" s="13"/>
    </row>
    <row r="49" spans="2:62" ht="12.75" customHeight="1">
      <c r="B49" s="45"/>
      <c r="C49" s="46"/>
      <c r="D49" s="182">
        <f t="shared" si="29"/>
        <v>3</v>
      </c>
      <c r="E49" s="198">
        <f>IF(D49="","",Tech!E49)</f>
        <v>1.5994832997302277</v>
      </c>
      <c r="F49" s="192">
        <f t="shared" si="30"/>
        <v>0.000687521119879575</v>
      </c>
      <c r="G49" s="133">
        <f t="shared" si="31"/>
        <v>0.29819434483003787</v>
      </c>
      <c r="H49" s="98">
        <f t="shared" si="31"/>
        <v>0.27951638855042155</v>
      </c>
      <c r="I49" s="98">
        <f t="shared" si="31"/>
        <v>0.18885831200234826</v>
      </c>
      <c r="J49" s="98">
        <f t="shared" si="31"/>
        <v>0.11112931134942072</v>
      </c>
      <c r="K49" s="98">
        <f t="shared" si="31"/>
        <v>0.06054434580042971</v>
      </c>
      <c r="L49" s="98">
        <f t="shared" si="31"/>
        <v>0.03140069849707287</v>
      </c>
      <c r="M49" s="98">
        <f t="shared" si="31"/>
        <v>0.01573780528541998</v>
      </c>
      <c r="N49" s="98">
        <f t="shared" si="31"/>
        <v>0.007691550674547687</v>
      </c>
      <c r="O49" s="98">
        <f t="shared" si="31"/>
        <v>0.0036872088339627357</v>
      </c>
      <c r="P49" s="98">
        <f t="shared" si="31"/>
        <v>0.0017407859374707804</v>
      </c>
      <c r="Q49" s="98">
        <f t="shared" si="32"/>
        <v>0.0008117271189882581</v>
      </c>
      <c r="R49" s="98">
        <f t="shared" si="32"/>
      </c>
      <c r="S49" s="98">
        <f t="shared" si="32"/>
      </c>
      <c r="T49" s="98">
        <f t="shared" si="32"/>
      </c>
      <c r="U49" s="98">
        <f t="shared" si="32"/>
      </c>
      <c r="V49" s="98">
        <f t="shared" si="32"/>
      </c>
      <c r="W49" s="98">
        <f t="shared" si="32"/>
      </c>
      <c r="X49" s="98">
        <f t="shared" si="32"/>
      </c>
      <c r="Y49" s="98">
        <f t="shared" si="32"/>
      </c>
      <c r="Z49" s="98">
        <f t="shared" si="32"/>
      </c>
      <c r="AA49" s="98">
        <f t="shared" si="33"/>
      </c>
      <c r="AB49" s="98">
        <f t="shared" si="33"/>
      </c>
      <c r="AC49" s="98">
        <f t="shared" si="33"/>
      </c>
      <c r="AD49" s="98">
        <f t="shared" si="33"/>
      </c>
      <c r="AE49" s="98">
        <f t="shared" si="33"/>
      </c>
      <c r="AF49" s="98">
        <f t="shared" si="33"/>
      </c>
      <c r="AG49" s="98">
        <f t="shared" si="33"/>
      </c>
      <c r="AH49" s="98">
        <f t="shared" si="33"/>
      </c>
      <c r="AI49" s="98">
        <f t="shared" si="33"/>
      </c>
      <c r="AJ49" s="98">
        <f t="shared" si="33"/>
      </c>
      <c r="AK49" s="98">
        <f t="shared" si="34"/>
      </c>
      <c r="AL49" s="98">
        <f t="shared" si="34"/>
      </c>
      <c r="AM49" s="98">
        <f t="shared" si="34"/>
      </c>
      <c r="AN49" s="98">
        <f t="shared" si="34"/>
      </c>
      <c r="AO49" s="98">
        <f t="shared" si="34"/>
      </c>
      <c r="AP49" s="98">
        <f t="shared" si="34"/>
      </c>
      <c r="AQ49" s="98">
        <f t="shared" si="34"/>
      </c>
      <c r="AR49" s="98">
        <f t="shared" si="34"/>
      </c>
      <c r="AS49" s="98">
        <f t="shared" si="34"/>
      </c>
      <c r="AT49" s="98">
        <f t="shared" si="34"/>
      </c>
      <c r="AU49" s="98">
        <f t="shared" si="35"/>
      </c>
      <c r="AV49" s="98">
        <f t="shared" si="35"/>
      </c>
      <c r="AW49" s="98">
        <f t="shared" si="35"/>
      </c>
      <c r="AX49" s="98">
        <f t="shared" si="35"/>
      </c>
      <c r="AY49" s="98">
        <f t="shared" si="35"/>
      </c>
      <c r="AZ49" s="98">
        <f t="shared" si="35"/>
      </c>
      <c r="BA49" s="98">
        <f t="shared" si="35"/>
      </c>
      <c r="BB49" s="98">
        <f t="shared" si="35"/>
      </c>
      <c r="BC49" s="98">
        <f t="shared" si="35"/>
      </c>
      <c r="BD49" s="98">
        <f t="shared" si="35"/>
      </c>
      <c r="BE49" s="98">
        <f t="shared" si="35"/>
      </c>
      <c r="BG49" s="75" t="str">
        <f t="shared" si="6"/>
        <v>---</v>
      </c>
      <c r="BH49" s="75" t="str">
        <f t="shared" si="7"/>
        <v>---</v>
      </c>
      <c r="BJ49" s="13"/>
    </row>
    <row r="50" spans="2:60" ht="12.75" customHeight="1">
      <c r="B50" s="45"/>
      <c r="C50" s="46"/>
      <c r="D50" s="182">
        <f t="shared" si="29"/>
        <v>4</v>
      </c>
      <c r="E50" s="198">
        <f>IF(D50="","",Tech!E50)</f>
        <v>1.624096789519826</v>
      </c>
      <c r="F50" s="192">
        <f t="shared" si="30"/>
        <v>0.0007531700197971336</v>
      </c>
      <c r="G50" s="133">
        <f t="shared" si="31"/>
        <v>0.293937355267039</v>
      </c>
      <c r="H50" s="98">
        <f t="shared" si="31"/>
        <v>0.27799507447582283</v>
      </c>
      <c r="I50" s="98">
        <f t="shared" si="31"/>
        <v>0.1895135966081721</v>
      </c>
      <c r="J50" s="98">
        <f t="shared" si="31"/>
        <v>0.11251420051232912</v>
      </c>
      <c r="K50" s="98">
        <f t="shared" si="31"/>
        <v>0.06184815543764968</v>
      </c>
      <c r="L50" s="98">
        <f t="shared" si="31"/>
        <v>0.03236435193794306</v>
      </c>
      <c r="M50" s="98">
        <f t="shared" si="31"/>
        <v>0.016366138396672277</v>
      </c>
      <c r="N50" s="98">
        <f t="shared" si="31"/>
        <v>0.00807031344427745</v>
      </c>
      <c r="O50" s="98">
        <f t="shared" si="31"/>
        <v>0.0039034505145066037</v>
      </c>
      <c r="P50" s="98">
        <f t="shared" si="31"/>
        <v>0.0018593911411254307</v>
      </c>
      <c r="Q50" s="98">
        <f t="shared" si="32"/>
        <v>0.0008748022446654016</v>
      </c>
      <c r="R50" s="98">
        <f t="shared" si="32"/>
      </c>
      <c r="S50" s="98">
        <f t="shared" si="32"/>
      </c>
      <c r="T50" s="98">
        <f t="shared" si="32"/>
      </c>
      <c r="U50" s="98">
        <f t="shared" si="32"/>
      </c>
      <c r="V50" s="98">
        <f t="shared" si="32"/>
      </c>
      <c r="W50" s="98">
        <f t="shared" si="32"/>
      </c>
      <c r="X50" s="98">
        <f t="shared" si="32"/>
      </c>
      <c r="Y50" s="98">
        <f t="shared" si="32"/>
      </c>
      <c r="Z50" s="98">
        <f t="shared" si="32"/>
      </c>
      <c r="AA50" s="98">
        <f t="shared" si="33"/>
      </c>
      <c r="AB50" s="98">
        <f t="shared" si="33"/>
      </c>
      <c r="AC50" s="98">
        <f t="shared" si="33"/>
      </c>
      <c r="AD50" s="98">
        <f t="shared" si="33"/>
      </c>
      <c r="AE50" s="98">
        <f t="shared" si="33"/>
      </c>
      <c r="AF50" s="98">
        <f t="shared" si="33"/>
      </c>
      <c r="AG50" s="98">
        <f t="shared" si="33"/>
      </c>
      <c r="AH50" s="98">
        <f t="shared" si="33"/>
      </c>
      <c r="AI50" s="98">
        <f t="shared" si="33"/>
      </c>
      <c r="AJ50" s="98">
        <f t="shared" si="33"/>
      </c>
      <c r="AK50" s="98">
        <f t="shared" si="34"/>
      </c>
      <c r="AL50" s="98">
        <f t="shared" si="34"/>
      </c>
      <c r="AM50" s="98">
        <f t="shared" si="34"/>
      </c>
      <c r="AN50" s="98">
        <f t="shared" si="34"/>
      </c>
      <c r="AO50" s="98">
        <f t="shared" si="34"/>
      </c>
      <c r="AP50" s="98">
        <f t="shared" si="34"/>
      </c>
      <c r="AQ50" s="98">
        <f t="shared" si="34"/>
      </c>
      <c r="AR50" s="98">
        <f t="shared" si="34"/>
      </c>
      <c r="AS50" s="98">
        <f t="shared" si="34"/>
      </c>
      <c r="AT50" s="98">
        <f t="shared" si="34"/>
      </c>
      <c r="AU50" s="98">
        <f t="shared" si="35"/>
      </c>
      <c r="AV50" s="98">
        <f t="shared" si="35"/>
      </c>
      <c r="AW50" s="98">
        <f t="shared" si="35"/>
      </c>
      <c r="AX50" s="98">
        <f t="shared" si="35"/>
      </c>
      <c r="AY50" s="98">
        <f t="shared" si="35"/>
      </c>
      <c r="AZ50" s="98">
        <f t="shared" si="35"/>
      </c>
      <c r="BA50" s="98">
        <f t="shared" si="35"/>
      </c>
      <c r="BB50" s="98">
        <f t="shared" si="35"/>
      </c>
      <c r="BC50" s="98">
        <f t="shared" si="35"/>
      </c>
      <c r="BD50" s="98">
        <f t="shared" si="35"/>
      </c>
      <c r="BE50" s="98">
        <f t="shared" si="35"/>
      </c>
      <c r="BG50" s="75" t="str">
        <f t="shared" si="6"/>
        <v>---</v>
      </c>
      <c r="BH50" s="75" t="str">
        <f t="shared" si="7"/>
        <v>---</v>
      </c>
    </row>
    <row r="51" spans="2:60" ht="12.75" customHeight="1">
      <c r="B51" s="47"/>
      <c r="C51" s="48"/>
      <c r="D51" s="183">
        <f t="shared" si="29"/>
        <v>10</v>
      </c>
      <c r="E51" s="200">
        <f>IF(D51="","",Tech!E51)</f>
        <v>1.6604813795896123</v>
      </c>
      <c r="F51" s="193">
        <f t="shared" si="30"/>
        <v>0.0008586784828099603</v>
      </c>
      <c r="G51" s="134">
        <f t="shared" si="31"/>
        <v>0.28780330607673893</v>
      </c>
      <c r="H51" s="104">
        <f t="shared" si="31"/>
        <v>0.27571182665750166</v>
      </c>
      <c r="I51" s="104">
        <f t="shared" si="31"/>
        <v>0.19038641949314275</v>
      </c>
      <c r="J51" s="104">
        <f t="shared" si="31"/>
        <v>0.11449334120117229</v>
      </c>
      <c r="K51" s="104">
        <f t="shared" si="31"/>
        <v>0.06374952316675504</v>
      </c>
      <c r="L51" s="104">
        <f t="shared" si="31"/>
        <v>0.03379048320724996</v>
      </c>
      <c r="M51" s="104">
        <f t="shared" si="31"/>
        <v>0.01730816412170192</v>
      </c>
      <c r="N51" s="104">
        <f t="shared" si="31"/>
        <v>0.00864514906721864</v>
      </c>
      <c r="O51" s="104">
        <f t="shared" si="31"/>
        <v>0.004235532901437366</v>
      </c>
      <c r="P51" s="104">
        <f t="shared" si="31"/>
        <v>0.002043654318401812</v>
      </c>
      <c r="Q51" s="104">
        <f t="shared" si="32"/>
        <v>0.0009739213058696341</v>
      </c>
      <c r="R51" s="104">
        <f t="shared" si="32"/>
      </c>
      <c r="S51" s="104">
        <f t="shared" si="32"/>
      </c>
      <c r="T51" s="104">
        <f t="shared" si="32"/>
      </c>
      <c r="U51" s="104">
        <f t="shared" si="32"/>
      </c>
      <c r="V51" s="104">
        <f t="shared" si="32"/>
      </c>
      <c r="W51" s="104">
        <f t="shared" si="32"/>
      </c>
      <c r="X51" s="104">
        <f t="shared" si="32"/>
      </c>
      <c r="Y51" s="104">
        <f t="shared" si="32"/>
      </c>
      <c r="Z51" s="104">
        <f t="shared" si="32"/>
      </c>
      <c r="AA51" s="104">
        <f t="shared" si="33"/>
      </c>
      <c r="AB51" s="104">
        <f t="shared" si="33"/>
      </c>
      <c r="AC51" s="104">
        <f t="shared" si="33"/>
      </c>
      <c r="AD51" s="104">
        <f t="shared" si="33"/>
      </c>
      <c r="AE51" s="104">
        <f t="shared" si="33"/>
      </c>
      <c r="AF51" s="104">
        <f t="shared" si="33"/>
      </c>
      <c r="AG51" s="104">
        <f t="shared" si="33"/>
      </c>
      <c r="AH51" s="104">
        <f t="shared" si="33"/>
      </c>
      <c r="AI51" s="104">
        <f t="shared" si="33"/>
      </c>
      <c r="AJ51" s="104">
        <f t="shared" si="33"/>
      </c>
      <c r="AK51" s="104">
        <f t="shared" si="34"/>
      </c>
      <c r="AL51" s="104">
        <f t="shared" si="34"/>
      </c>
      <c r="AM51" s="104">
        <f t="shared" si="34"/>
      </c>
      <c r="AN51" s="104">
        <f t="shared" si="34"/>
      </c>
      <c r="AO51" s="104">
        <f t="shared" si="34"/>
      </c>
      <c r="AP51" s="104">
        <f t="shared" si="34"/>
      </c>
      <c r="AQ51" s="104">
        <f t="shared" si="34"/>
      </c>
      <c r="AR51" s="104">
        <f t="shared" si="34"/>
      </c>
      <c r="AS51" s="104">
        <f t="shared" si="34"/>
      </c>
      <c r="AT51" s="104">
        <f t="shared" si="34"/>
      </c>
      <c r="AU51" s="104">
        <f t="shared" si="35"/>
      </c>
      <c r="AV51" s="104">
        <f t="shared" si="35"/>
      </c>
      <c r="AW51" s="104">
        <f t="shared" si="35"/>
      </c>
      <c r="AX51" s="104">
        <f t="shared" si="35"/>
      </c>
      <c r="AY51" s="104">
        <f t="shared" si="35"/>
      </c>
      <c r="AZ51" s="104">
        <f t="shared" si="35"/>
      </c>
      <c r="BA51" s="104">
        <f t="shared" si="35"/>
      </c>
      <c r="BB51" s="104">
        <f t="shared" si="35"/>
      </c>
      <c r="BC51" s="104">
        <f t="shared" si="35"/>
      </c>
      <c r="BD51" s="104">
        <f t="shared" si="35"/>
      </c>
      <c r="BE51" s="104">
        <f t="shared" si="35"/>
      </c>
      <c r="BG51" s="75" t="str">
        <f t="shared" si="6"/>
        <v>---</v>
      </c>
      <c r="BH51" s="75" t="str">
        <f t="shared" si="7"/>
        <v>---</v>
      </c>
    </row>
    <row r="52" spans="2:62" ht="12.75" customHeight="1">
      <c r="B52" s="45"/>
      <c r="C52" s="46"/>
      <c r="D52" s="182">
        <f t="shared" si="29"/>
        <v>20</v>
      </c>
      <c r="E52" s="198">
        <f>IF(D52="","",Tech!E52)</f>
        <v>2.2209400407442983</v>
      </c>
      <c r="F52" s="192">
        <f t="shared" si="30"/>
        <v>0.004196825180979746</v>
      </c>
      <c r="G52" s="133">
        <f t="shared" si="31"/>
        <v>0.21273133847334444</v>
      </c>
      <c r="H52" s="98">
        <f t="shared" si="31"/>
        <v>0.2385200575229204</v>
      </c>
      <c r="I52" s="98">
        <f t="shared" si="31"/>
        <v>0.1927699310094955</v>
      </c>
      <c r="J52" s="98">
        <f t="shared" si="31"/>
        <v>0.1356804797829565</v>
      </c>
      <c r="K52" s="98">
        <f t="shared" si="31"/>
        <v>0.08841946803286073</v>
      </c>
      <c r="L52" s="98">
        <f t="shared" si="31"/>
        <v>0.05485284719299547</v>
      </c>
      <c r="M52" s="98">
        <f t="shared" si="31"/>
        <v>0.032884375078001175</v>
      </c>
      <c r="N52" s="98">
        <f t="shared" si="31"/>
        <v>0.019224050131030485</v>
      </c>
      <c r="O52" s="98">
        <f t="shared" si="31"/>
        <v>0.011023367329086256</v>
      </c>
      <c r="P52" s="98">
        <f t="shared" si="31"/>
        <v>0.006225116348699003</v>
      </c>
      <c r="Q52" s="98">
        <f t="shared" si="32"/>
        <v>0.003472143917630401</v>
      </c>
      <c r="R52" s="98">
        <f t="shared" si="32"/>
      </c>
      <c r="S52" s="98">
        <f t="shared" si="32"/>
      </c>
      <c r="T52" s="98">
        <f t="shared" si="32"/>
      </c>
      <c r="U52" s="98">
        <f t="shared" si="32"/>
      </c>
      <c r="V52" s="98">
        <f t="shared" si="32"/>
      </c>
      <c r="W52" s="98">
        <f t="shared" si="32"/>
      </c>
      <c r="X52" s="98">
        <f t="shared" si="32"/>
      </c>
      <c r="Y52" s="98">
        <f t="shared" si="32"/>
      </c>
      <c r="Z52" s="98">
        <f t="shared" si="32"/>
      </c>
      <c r="AA52" s="98">
        <f t="shared" si="33"/>
      </c>
      <c r="AB52" s="98">
        <f t="shared" si="33"/>
      </c>
      <c r="AC52" s="98">
        <f t="shared" si="33"/>
      </c>
      <c r="AD52" s="98">
        <f t="shared" si="33"/>
      </c>
      <c r="AE52" s="98">
        <f t="shared" si="33"/>
      </c>
      <c r="AF52" s="98">
        <f t="shared" si="33"/>
      </c>
      <c r="AG52" s="98">
        <f t="shared" si="33"/>
      </c>
      <c r="AH52" s="98">
        <f t="shared" si="33"/>
      </c>
      <c r="AI52" s="98">
        <f t="shared" si="33"/>
      </c>
      <c r="AJ52" s="98">
        <f t="shared" si="33"/>
      </c>
      <c r="AK52" s="98">
        <f t="shared" si="34"/>
      </c>
      <c r="AL52" s="98">
        <f t="shared" si="34"/>
      </c>
      <c r="AM52" s="98">
        <f t="shared" si="34"/>
      </c>
      <c r="AN52" s="98">
        <f t="shared" si="34"/>
      </c>
      <c r="AO52" s="98">
        <f t="shared" si="34"/>
      </c>
      <c r="AP52" s="98">
        <f t="shared" si="34"/>
      </c>
      <c r="AQ52" s="98">
        <f t="shared" si="34"/>
      </c>
      <c r="AR52" s="98">
        <f t="shared" si="34"/>
      </c>
      <c r="AS52" s="98">
        <f t="shared" si="34"/>
      </c>
      <c r="AT52" s="98">
        <f t="shared" si="34"/>
      </c>
      <c r="AU52" s="98">
        <f t="shared" si="35"/>
      </c>
      <c r="AV52" s="98">
        <f t="shared" si="35"/>
      </c>
      <c r="AW52" s="98">
        <f t="shared" si="35"/>
      </c>
      <c r="AX52" s="98">
        <f t="shared" si="35"/>
      </c>
      <c r="AY52" s="98">
        <f t="shared" si="35"/>
      </c>
      <c r="AZ52" s="98">
        <f t="shared" si="35"/>
      </c>
      <c r="BA52" s="98">
        <f t="shared" si="35"/>
      </c>
      <c r="BB52" s="98">
        <f t="shared" si="35"/>
      </c>
      <c r="BC52" s="98">
        <f t="shared" si="35"/>
      </c>
      <c r="BD52" s="98">
        <f t="shared" si="35"/>
      </c>
      <c r="BE52" s="98">
        <f t="shared" si="35"/>
      </c>
      <c r="BG52" s="75" t="str">
        <f t="shared" si="6"/>
        <v>---</v>
      </c>
      <c r="BH52" s="75" t="str">
        <f t="shared" si="7"/>
        <v>---</v>
      </c>
      <c r="BJ52" s="13"/>
    </row>
    <row r="53" spans="2:62" ht="12.75" customHeight="1">
      <c r="B53" s="43" t="s">
        <v>58</v>
      </c>
      <c r="C53" s="143" t="str">
        <f>IF(C36="","",C36)</f>
        <v>ment</v>
      </c>
      <c r="D53" s="182">
        <f t="shared" si="29"/>
        <v>30</v>
      </c>
      <c r="E53" s="198">
        <f>IF(D53="","",Tech!E53)</f>
        <v>2.970569092319705</v>
      </c>
      <c r="F53" s="192">
        <f t="shared" si="30"/>
        <v>0.015964087511294522</v>
      </c>
      <c r="G53" s="133">
        <f t="shared" si="31"/>
        <v>0.1499160806533558</v>
      </c>
      <c r="H53" s="98">
        <f t="shared" si="31"/>
        <v>0.1926307237713781</v>
      </c>
      <c r="I53" s="98">
        <f t="shared" si="31"/>
        <v>0.17841191175849525</v>
      </c>
      <c r="J53" s="98">
        <f t="shared" si="31"/>
        <v>0.14390829558614696</v>
      </c>
      <c r="K53" s="98">
        <f t="shared" si="31"/>
        <v>0.10747321990032901</v>
      </c>
      <c r="L53" s="98">
        <f t="shared" si="31"/>
        <v>0.0764074035350346</v>
      </c>
      <c r="M53" s="98">
        <f t="shared" si="31"/>
        <v>0.05249401171923263</v>
      </c>
      <c r="N53" s="98">
        <f t="shared" si="31"/>
        <v>0.035168104808097546</v>
      </c>
      <c r="O53" s="98">
        <f t="shared" si="31"/>
        <v>0.023110123067241917</v>
      </c>
      <c r="P53" s="98">
        <f t="shared" si="31"/>
        <v>0.014956134273337664</v>
      </c>
      <c r="Q53" s="98">
        <f t="shared" si="32"/>
        <v>0.00955990341605608</v>
      </c>
      <c r="R53" s="98">
        <f t="shared" si="32"/>
      </c>
      <c r="S53" s="98">
        <f t="shared" si="32"/>
      </c>
      <c r="T53" s="98">
        <f t="shared" si="32"/>
      </c>
      <c r="U53" s="98">
        <f t="shared" si="32"/>
      </c>
      <c r="V53" s="98">
        <f t="shared" si="32"/>
      </c>
      <c r="W53" s="98">
        <f t="shared" si="32"/>
      </c>
      <c r="X53" s="98">
        <f t="shared" si="32"/>
      </c>
      <c r="Y53" s="98">
        <f t="shared" si="32"/>
      </c>
      <c r="Z53" s="98">
        <f t="shared" si="32"/>
      </c>
      <c r="AA53" s="98">
        <f t="shared" si="33"/>
      </c>
      <c r="AB53" s="98">
        <f t="shared" si="33"/>
      </c>
      <c r="AC53" s="98">
        <f t="shared" si="33"/>
      </c>
      <c r="AD53" s="98">
        <f t="shared" si="33"/>
      </c>
      <c r="AE53" s="98">
        <f t="shared" si="33"/>
      </c>
      <c r="AF53" s="98">
        <f t="shared" si="33"/>
      </c>
      <c r="AG53" s="98">
        <f t="shared" si="33"/>
      </c>
      <c r="AH53" s="98">
        <f t="shared" si="33"/>
      </c>
      <c r="AI53" s="98">
        <f t="shared" si="33"/>
      </c>
      <c r="AJ53" s="98">
        <f t="shared" si="33"/>
      </c>
      <c r="AK53" s="98">
        <f t="shared" si="34"/>
      </c>
      <c r="AL53" s="98">
        <f t="shared" si="34"/>
      </c>
      <c r="AM53" s="98">
        <f t="shared" si="34"/>
      </c>
      <c r="AN53" s="98">
        <f t="shared" si="34"/>
      </c>
      <c r="AO53" s="98">
        <f t="shared" si="34"/>
      </c>
      <c r="AP53" s="98">
        <f t="shared" si="34"/>
      </c>
      <c r="AQ53" s="98">
        <f t="shared" si="34"/>
      </c>
      <c r="AR53" s="98">
        <f t="shared" si="34"/>
      </c>
      <c r="AS53" s="98">
        <f t="shared" si="34"/>
      </c>
      <c r="AT53" s="98">
        <f t="shared" si="34"/>
      </c>
      <c r="AU53" s="98">
        <f t="shared" si="35"/>
      </c>
      <c r="AV53" s="98">
        <f t="shared" si="35"/>
      </c>
      <c r="AW53" s="98">
        <f t="shared" si="35"/>
      </c>
      <c r="AX53" s="98">
        <f t="shared" si="35"/>
      </c>
      <c r="AY53" s="98">
        <f t="shared" si="35"/>
      </c>
      <c r="AZ53" s="98">
        <f t="shared" si="35"/>
      </c>
      <c r="BA53" s="98">
        <f t="shared" si="35"/>
      </c>
      <c r="BB53" s="98">
        <f t="shared" si="35"/>
      </c>
      <c r="BC53" s="98">
        <f t="shared" si="35"/>
      </c>
      <c r="BD53" s="98">
        <f t="shared" si="35"/>
      </c>
      <c r="BE53" s="98">
        <f t="shared" si="35"/>
      </c>
      <c r="BG53" s="75" t="str">
        <f t="shared" si="6"/>
        <v>---</v>
      </c>
      <c r="BH53" s="75" t="str">
        <f t="shared" si="7"/>
        <v>---</v>
      </c>
      <c r="BJ53" s="13"/>
    </row>
    <row r="54" spans="2:62" ht="12.75" customHeight="1">
      <c r="B54" s="45"/>
      <c r="C54" s="46"/>
      <c r="D54" s="182">
        <f t="shared" si="29"/>
        <v>50</v>
      </c>
      <c r="E54" s="198">
        <f>IF(D54="","",Tech!E54)</f>
        <v>5.314290687454764</v>
      </c>
      <c r="F54" s="192">
        <f t="shared" si="30"/>
        <v>0.11304820571929008</v>
      </c>
      <c r="G54" s="133">
        <f t="shared" si="31"/>
        <v>0.06486427363794954</v>
      </c>
      <c r="H54" s="98">
        <f t="shared" si="31"/>
        <v>0.10299310859127832</v>
      </c>
      <c r="I54" s="98">
        <f t="shared" si="31"/>
        <v>0.11787772010250566</v>
      </c>
      <c r="J54" s="98">
        <f t="shared" si="31"/>
        <v>0.117494890454232</v>
      </c>
      <c r="K54" s="98">
        <f t="shared" si="31"/>
        <v>0.10843230309266393</v>
      </c>
      <c r="L54" s="98">
        <f t="shared" si="31"/>
        <v>0.09526187692292538</v>
      </c>
      <c r="M54" s="98">
        <f t="shared" si="31"/>
        <v>0.08087582552661954</v>
      </c>
      <c r="N54" s="98">
        <f t="shared" si="31"/>
        <v>0.0669550283717469</v>
      </c>
      <c r="O54" s="98">
        <f t="shared" si="31"/>
        <v>0.0543703041092647</v>
      </c>
      <c r="P54" s="98">
        <f t="shared" si="31"/>
        <v>0.043481461182366524</v>
      </c>
      <c r="Q54" s="98">
        <f t="shared" si="32"/>
        <v>0.03434500228915742</v>
      </c>
      <c r="R54" s="98">
        <f t="shared" si="32"/>
      </c>
      <c r="S54" s="98">
        <f t="shared" si="32"/>
      </c>
      <c r="T54" s="98">
        <f t="shared" si="32"/>
      </c>
      <c r="U54" s="98">
        <f t="shared" si="32"/>
      </c>
      <c r="V54" s="98">
        <f t="shared" si="32"/>
      </c>
      <c r="W54" s="98">
        <f t="shared" si="32"/>
      </c>
      <c r="X54" s="98">
        <f t="shared" si="32"/>
      </c>
      <c r="Y54" s="98">
        <f t="shared" si="32"/>
      </c>
      <c r="Z54" s="98">
        <f t="shared" si="32"/>
      </c>
      <c r="AA54" s="98">
        <f t="shared" si="33"/>
      </c>
      <c r="AB54" s="98">
        <f t="shared" si="33"/>
      </c>
      <c r="AC54" s="98">
        <f t="shared" si="33"/>
      </c>
      <c r="AD54" s="98">
        <f t="shared" si="33"/>
      </c>
      <c r="AE54" s="98">
        <f t="shared" si="33"/>
      </c>
      <c r="AF54" s="98">
        <f t="shared" si="33"/>
      </c>
      <c r="AG54" s="98">
        <f t="shared" si="33"/>
      </c>
      <c r="AH54" s="98">
        <f t="shared" si="33"/>
      </c>
      <c r="AI54" s="98">
        <f t="shared" si="33"/>
      </c>
      <c r="AJ54" s="98">
        <f t="shared" si="33"/>
      </c>
      <c r="AK54" s="98">
        <f t="shared" si="34"/>
      </c>
      <c r="AL54" s="98">
        <f t="shared" si="34"/>
      </c>
      <c r="AM54" s="98">
        <f t="shared" si="34"/>
      </c>
      <c r="AN54" s="98">
        <f t="shared" si="34"/>
      </c>
      <c r="AO54" s="98">
        <f t="shared" si="34"/>
      </c>
      <c r="AP54" s="98">
        <f t="shared" si="34"/>
      </c>
      <c r="AQ54" s="98">
        <f t="shared" si="34"/>
      </c>
      <c r="AR54" s="98">
        <f t="shared" si="34"/>
      </c>
      <c r="AS54" s="98">
        <f t="shared" si="34"/>
      </c>
      <c r="AT54" s="98">
        <f t="shared" si="34"/>
      </c>
      <c r="AU54" s="98">
        <f t="shared" si="35"/>
      </c>
      <c r="AV54" s="98">
        <f t="shared" si="35"/>
      </c>
      <c r="AW54" s="98">
        <f t="shared" si="35"/>
      </c>
      <c r="AX54" s="98">
        <f t="shared" si="35"/>
      </c>
      <c r="AY54" s="98">
        <f t="shared" si="35"/>
      </c>
      <c r="AZ54" s="98">
        <f t="shared" si="35"/>
      </c>
      <c r="BA54" s="98">
        <f t="shared" si="35"/>
      </c>
      <c r="BB54" s="98">
        <f t="shared" si="35"/>
      </c>
      <c r="BC54" s="98">
        <f t="shared" si="35"/>
      </c>
      <c r="BD54" s="98">
        <f t="shared" si="35"/>
      </c>
      <c r="BE54" s="98">
        <f t="shared" si="35"/>
      </c>
      <c r="BG54" s="75" t="str">
        <f t="shared" si="6"/>
        <v>---</v>
      </c>
      <c r="BH54" s="75" t="str">
        <f t="shared" si="7"/>
        <v>---</v>
      </c>
      <c r="BJ54" s="13"/>
    </row>
    <row r="55" spans="2:62" ht="12.75" customHeight="1">
      <c r="B55" s="49"/>
      <c r="C55" s="50"/>
      <c r="D55" s="184">
        <f t="shared" si="29"/>
        <v>70</v>
      </c>
      <c r="E55" s="201">
        <f>IF(D55="","",Tech!E55)</f>
        <v>9.507163318902847</v>
      </c>
      <c r="F55" s="194">
        <f t="shared" si="30"/>
        <v>0.35926362079000296</v>
      </c>
      <c r="G55" s="135">
        <f t="shared" si="31"/>
        <v>0.023931150901302527</v>
      </c>
      <c r="H55" s="102">
        <f t="shared" si="31"/>
        <v>0.043765473129096</v>
      </c>
      <c r="I55" s="102">
        <f t="shared" si="31"/>
        <v>0.057692668085629624</v>
      </c>
      <c r="J55" s="102">
        <f t="shared" si="31"/>
        <v>0.06623283006797716</v>
      </c>
      <c r="K55" s="102">
        <f t="shared" si="31"/>
        <v>0.07040093858868061</v>
      </c>
      <c r="L55" s="102">
        <f t="shared" si="31"/>
        <v>0.07123678913769038</v>
      </c>
      <c r="M55" s="102">
        <f t="shared" si="31"/>
        <v>0.0696577374526492</v>
      </c>
      <c r="N55" s="102">
        <f t="shared" si="31"/>
        <v>0.0664200611336931</v>
      </c>
      <c r="O55" s="102">
        <f t="shared" si="31"/>
        <v>0.06212169112747023</v>
      </c>
      <c r="P55" s="102">
        <f t="shared" si="31"/>
        <v>0.05722042418743186</v>
      </c>
      <c r="Q55" s="102">
        <f t="shared" si="32"/>
        <v>0.05205661539837634</v>
      </c>
      <c r="R55" s="102">
        <f t="shared" si="32"/>
      </c>
      <c r="S55" s="102">
        <f t="shared" si="32"/>
      </c>
      <c r="T55" s="102">
        <f t="shared" si="32"/>
      </c>
      <c r="U55" s="102">
        <f t="shared" si="32"/>
      </c>
      <c r="V55" s="102">
        <f t="shared" si="32"/>
      </c>
      <c r="W55" s="102">
        <f t="shared" si="32"/>
      </c>
      <c r="X55" s="102">
        <f t="shared" si="32"/>
      </c>
      <c r="Y55" s="102">
        <f t="shared" si="32"/>
      </c>
      <c r="Z55" s="102">
        <f t="shared" si="32"/>
      </c>
      <c r="AA55" s="102">
        <f t="shared" si="33"/>
      </c>
      <c r="AB55" s="102">
        <f t="shared" si="33"/>
      </c>
      <c r="AC55" s="102">
        <f t="shared" si="33"/>
      </c>
      <c r="AD55" s="102">
        <f t="shared" si="33"/>
      </c>
      <c r="AE55" s="102">
        <f t="shared" si="33"/>
      </c>
      <c r="AF55" s="102">
        <f t="shared" si="33"/>
      </c>
      <c r="AG55" s="102">
        <f t="shared" si="33"/>
      </c>
      <c r="AH55" s="102">
        <f t="shared" si="33"/>
      </c>
      <c r="AI55" s="102">
        <f t="shared" si="33"/>
      </c>
      <c r="AJ55" s="102">
        <f t="shared" si="33"/>
      </c>
      <c r="AK55" s="102">
        <f t="shared" si="34"/>
      </c>
      <c r="AL55" s="102">
        <f t="shared" si="34"/>
      </c>
      <c r="AM55" s="102">
        <f t="shared" si="34"/>
      </c>
      <c r="AN55" s="102">
        <f t="shared" si="34"/>
      </c>
      <c r="AO55" s="102">
        <f t="shared" si="34"/>
      </c>
      <c r="AP55" s="102">
        <f t="shared" si="34"/>
      </c>
      <c r="AQ55" s="102">
        <f t="shared" si="34"/>
      </c>
      <c r="AR55" s="102">
        <f t="shared" si="34"/>
      </c>
      <c r="AS55" s="102">
        <f t="shared" si="34"/>
      </c>
      <c r="AT55" s="102">
        <f t="shared" si="34"/>
      </c>
      <c r="AU55" s="102">
        <f t="shared" si="35"/>
      </c>
      <c r="AV55" s="102">
        <f t="shared" si="35"/>
      </c>
      <c r="AW55" s="102">
        <f t="shared" si="35"/>
      </c>
      <c r="AX55" s="102">
        <f t="shared" si="35"/>
      </c>
      <c r="AY55" s="102">
        <f t="shared" si="35"/>
      </c>
      <c r="AZ55" s="102">
        <f t="shared" si="35"/>
      </c>
      <c r="BA55" s="102">
        <f t="shared" si="35"/>
      </c>
      <c r="BB55" s="102">
        <f t="shared" si="35"/>
      </c>
      <c r="BC55" s="102">
        <f t="shared" si="35"/>
      </c>
      <c r="BD55" s="102">
        <f t="shared" si="35"/>
      </c>
      <c r="BE55" s="102">
        <f t="shared" si="35"/>
      </c>
      <c r="BG55" s="75" t="str">
        <f t="shared" si="6"/>
        <v>---</v>
      </c>
      <c r="BH55" s="75" t="str">
        <f t="shared" si="7"/>
        <v>---</v>
      </c>
      <c r="BJ55" s="13"/>
    </row>
    <row r="56" spans="2:62" ht="12.75" customHeight="1">
      <c r="B56" s="45"/>
      <c r="C56" s="46"/>
      <c r="D56" s="182">
        <f t="shared" si="29"/>
        <v>0</v>
      </c>
      <c r="E56" s="198">
        <f>IF(D56="","",Tech!E56)</f>
        <v>1.7482149305037598</v>
      </c>
      <c r="F56" s="192">
        <f t="shared" si="30"/>
        <v>0.0011580781688778075</v>
      </c>
      <c r="G56" s="133">
        <f t="shared" si="31"/>
        <v>0.27375082737707196</v>
      </c>
      <c r="H56" s="98">
        <f t="shared" si="31"/>
        <v>0.2700690978520865</v>
      </c>
      <c r="I56" s="98">
        <f t="shared" si="31"/>
        <v>0.19205043742988068</v>
      </c>
      <c r="J56" s="98">
        <f t="shared" si="31"/>
        <v>0.1189376627334488</v>
      </c>
      <c r="K56" s="98">
        <f t="shared" si="31"/>
        <v>0.06819867662070891</v>
      </c>
      <c r="L56" s="98">
        <f t="shared" si="31"/>
        <v>0.03722658905483998</v>
      </c>
      <c r="M56" s="98">
        <f t="shared" si="31"/>
        <v>0.01963675328448211</v>
      </c>
      <c r="N56" s="98">
        <f t="shared" si="31"/>
        <v>0.010100689045776311</v>
      </c>
      <c r="O56" s="98">
        <f t="shared" si="31"/>
        <v>0.005096199384365611</v>
      </c>
      <c r="P56" s="98">
        <f t="shared" si="31"/>
        <v>0.0025322444319913315</v>
      </c>
      <c r="Q56" s="98">
        <f t="shared" si="32"/>
        <v>0.001242744616470136</v>
      </c>
      <c r="R56" s="98">
        <f t="shared" si="32"/>
      </c>
      <c r="S56" s="98">
        <f t="shared" si="32"/>
      </c>
      <c r="T56" s="98">
        <f t="shared" si="32"/>
      </c>
      <c r="U56" s="98">
        <f t="shared" si="32"/>
      </c>
      <c r="V56" s="98">
        <f t="shared" si="32"/>
      </c>
      <c r="W56" s="98">
        <f t="shared" si="32"/>
      </c>
      <c r="X56" s="98">
        <f t="shared" si="32"/>
      </c>
      <c r="Y56" s="98">
        <f t="shared" si="32"/>
      </c>
      <c r="Z56" s="98">
        <f t="shared" si="32"/>
      </c>
      <c r="AA56" s="98">
        <f t="shared" si="33"/>
      </c>
      <c r="AB56" s="98">
        <f t="shared" si="33"/>
      </c>
      <c r="AC56" s="98">
        <f t="shared" si="33"/>
      </c>
      <c r="AD56" s="98">
        <f t="shared" si="33"/>
      </c>
      <c r="AE56" s="98">
        <f t="shared" si="33"/>
      </c>
      <c r="AF56" s="98">
        <f t="shared" si="33"/>
      </c>
      <c r="AG56" s="98">
        <f t="shared" si="33"/>
      </c>
      <c r="AH56" s="98">
        <f t="shared" si="33"/>
      </c>
      <c r="AI56" s="98">
        <f t="shared" si="33"/>
      </c>
      <c r="AJ56" s="98">
        <f t="shared" si="33"/>
      </c>
      <c r="AK56" s="98">
        <f t="shared" si="34"/>
      </c>
      <c r="AL56" s="98">
        <f t="shared" si="34"/>
      </c>
      <c r="AM56" s="98">
        <f t="shared" si="34"/>
      </c>
      <c r="AN56" s="98">
        <f t="shared" si="34"/>
      </c>
      <c r="AO56" s="98">
        <f t="shared" si="34"/>
      </c>
      <c r="AP56" s="98">
        <f t="shared" si="34"/>
      </c>
      <c r="AQ56" s="98">
        <f t="shared" si="34"/>
      </c>
      <c r="AR56" s="98">
        <f t="shared" si="34"/>
      </c>
      <c r="AS56" s="98">
        <f t="shared" si="34"/>
      </c>
      <c r="AT56" s="98">
        <f t="shared" si="34"/>
      </c>
      <c r="AU56" s="98">
        <f t="shared" si="35"/>
      </c>
      <c r="AV56" s="98">
        <f t="shared" si="35"/>
      </c>
      <c r="AW56" s="98">
        <f t="shared" si="35"/>
      </c>
      <c r="AX56" s="98">
        <f t="shared" si="35"/>
      </c>
      <c r="AY56" s="98">
        <f t="shared" si="35"/>
      </c>
      <c r="AZ56" s="98">
        <f t="shared" si="35"/>
      </c>
      <c r="BA56" s="98">
        <f t="shared" si="35"/>
      </c>
      <c r="BB56" s="98">
        <f t="shared" si="35"/>
      </c>
      <c r="BC56" s="98">
        <f t="shared" si="35"/>
      </c>
      <c r="BD56" s="98">
        <f t="shared" si="35"/>
      </c>
      <c r="BE56" s="98">
        <f t="shared" si="35"/>
      </c>
      <c r="BG56" s="75" t="str">
        <f t="shared" si="6"/>
        <v>---</v>
      </c>
      <c r="BH56" s="75" t="str">
        <f t="shared" si="7"/>
        <v>---</v>
      </c>
      <c r="BJ56" s="13"/>
    </row>
    <row r="57" spans="2:62" ht="12.75" customHeight="1">
      <c r="B57" s="45"/>
      <c r="C57" s="46"/>
      <c r="D57" s="182">
        <f t="shared" si="29"/>
        <v>1</v>
      </c>
      <c r="E57" s="198">
        <f>IF(D57="","",Tech!E57)</f>
        <v>1.465475887535381</v>
      </c>
      <c r="F57" s="192">
        <f t="shared" si="30"/>
        <v>0.00040243150369279057</v>
      </c>
      <c r="G57" s="133">
        <f t="shared" si="31"/>
        <v>0.32300683955049586</v>
      </c>
      <c r="H57" s="98">
        <f t="shared" si="31"/>
        <v>0.28737450038946666</v>
      </c>
      <c r="I57" s="98">
        <f t="shared" si="31"/>
        <v>0.18429166501398134</v>
      </c>
      <c r="J57" s="98">
        <f t="shared" si="31"/>
        <v>0.10292641599580929</v>
      </c>
      <c r="K57" s="98">
        <f t="shared" si="31"/>
        <v>0.0532231354052565</v>
      </c>
      <c r="L57" s="98">
        <f t="shared" si="31"/>
        <v>0.026199609048283997</v>
      </c>
      <c r="M57" s="98">
        <f t="shared" si="31"/>
        <v>0.0124631639160094</v>
      </c>
      <c r="N57" s="98">
        <f t="shared" si="31"/>
        <v>0.005781315654779117</v>
      </c>
      <c r="O57" s="98">
        <f t="shared" si="31"/>
        <v>0.0026305051073091776</v>
      </c>
      <c r="P57" s="98">
        <f t="shared" si="31"/>
        <v>0.0011787329414032566</v>
      </c>
      <c r="Q57" s="98">
        <f t="shared" si="32"/>
        <v>0.0005216854735126262</v>
      </c>
      <c r="R57" s="98">
        <f t="shared" si="32"/>
      </c>
      <c r="S57" s="98">
        <f t="shared" si="32"/>
      </c>
      <c r="T57" s="98">
        <f t="shared" si="32"/>
      </c>
      <c r="U57" s="98">
        <f t="shared" si="32"/>
      </c>
      <c r="V57" s="98">
        <f t="shared" si="32"/>
      </c>
      <c r="W57" s="98">
        <f t="shared" si="32"/>
      </c>
      <c r="X57" s="98">
        <f t="shared" si="32"/>
      </c>
      <c r="Y57" s="98">
        <f t="shared" si="32"/>
      </c>
      <c r="Z57" s="98">
        <f t="shared" si="32"/>
      </c>
      <c r="AA57" s="98">
        <f t="shared" si="33"/>
      </c>
      <c r="AB57" s="98">
        <f t="shared" si="33"/>
      </c>
      <c r="AC57" s="98">
        <f t="shared" si="33"/>
      </c>
      <c r="AD57" s="98">
        <f t="shared" si="33"/>
      </c>
      <c r="AE57" s="98">
        <f t="shared" si="33"/>
      </c>
      <c r="AF57" s="98">
        <f t="shared" si="33"/>
      </c>
      <c r="AG57" s="98">
        <f t="shared" si="33"/>
      </c>
      <c r="AH57" s="98">
        <f t="shared" si="33"/>
      </c>
      <c r="AI57" s="98">
        <f t="shared" si="33"/>
      </c>
      <c r="AJ57" s="98">
        <f t="shared" si="33"/>
      </c>
      <c r="AK57" s="98">
        <f t="shared" si="34"/>
      </c>
      <c r="AL57" s="98">
        <f t="shared" si="34"/>
      </c>
      <c r="AM57" s="98">
        <f t="shared" si="34"/>
      </c>
      <c r="AN57" s="98">
        <f t="shared" si="34"/>
      </c>
      <c r="AO57" s="98">
        <f t="shared" si="34"/>
      </c>
      <c r="AP57" s="98">
        <f t="shared" si="34"/>
      </c>
      <c r="AQ57" s="98">
        <f t="shared" si="34"/>
      </c>
      <c r="AR57" s="98">
        <f t="shared" si="34"/>
      </c>
      <c r="AS57" s="98">
        <f t="shared" si="34"/>
      </c>
      <c r="AT57" s="98">
        <f t="shared" si="34"/>
      </c>
      <c r="AU57" s="98">
        <f t="shared" si="35"/>
      </c>
      <c r="AV57" s="98">
        <f t="shared" si="35"/>
      </c>
      <c r="AW57" s="98">
        <f t="shared" si="35"/>
      </c>
      <c r="AX57" s="98">
        <f t="shared" si="35"/>
      </c>
      <c r="AY57" s="98">
        <f t="shared" si="35"/>
      </c>
      <c r="AZ57" s="98">
        <f t="shared" si="35"/>
      </c>
      <c r="BA57" s="98">
        <f t="shared" si="35"/>
      </c>
      <c r="BB57" s="98">
        <f t="shared" si="35"/>
      </c>
      <c r="BC57" s="98">
        <f t="shared" si="35"/>
      </c>
      <c r="BD57" s="98">
        <f t="shared" si="35"/>
      </c>
      <c r="BE57" s="98">
        <f t="shared" si="35"/>
      </c>
      <c r="BG57" s="75" t="str">
        <f t="shared" si="6"/>
        <v>---</v>
      </c>
      <c r="BH57" s="75" t="str">
        <f t="shared" si="7"/>
        <v>---</v>
      </c>
      <c r="BJ57" s="13"/>
    </row>
    <row r="58" spans="2:62" ht="12.75" customHeight="1">
      <c r="B58" s="43" t="s">
        <v>59</v>
      </c>
      <c r="C58" s="143" t="str">
        <f>IF(C41="","",C41)</f>
        <v>kid5</v>
      </c>
      <c r="D58" s="182">
        <f t="shared" si="29"/>
        <v>2</v>
      </c>
      <c r="E58" s="198">
        <f>IF(D58="","",Tech!E58)</f>
        <v>1.228464269166699</v>
      </c>
      <c r="F58" s="192">
        <f t="shared" si="30"/>
        <v>0.00012793746758443802</v>
      </c>
      <c r="G58" s="133">
        <f t="shared" si="31"/>
        <v>0.3747793727321477</v>
      </c>
      <c r="H58" s="98">
        <f t="shared" si="31"/>
        <v>0.2984755848599785</v>
      </c>
      <c r="I58" s="98">
        <f t="shared" si="31"/>
        <v>0.17134163133434924</v>
      </c>
      <c r="J58" s="98">
        <f t="shared" si="31"/>
        <v>0.08566051385008923</v>
      </c>
      <c r="K58" s="98">
        <f t="shared" si="31"/>
        <v>0.03965070388692846</v>
      </c>
      <c r="L58" s="98">
        <f t="shared" si="31"/>
        <v>0.01747197009929557</v>
      </c>
      <c r="M58" s="98">
        <f t="shared" si="31"/>
        <v>0.007439983887221109</v>
      </c>
      <c r="N58" s="98">
        <f t="shared" si="31"/>
        <v>0.003089349131584215</v>
      </c>
      <c r="O58" s="98">
        <f t="shared" si="31"/>
        <v>0.001258276482496849</v>
      </c>
      <c r="P58" s="98">
        <f t="shared" si="31"/>
        <v>0.0005047182075366505</v>
      </c>
      <c r="Q58" s="98">
        <f t="shared" si="32"/>
        <v>0.00019995806078806075</v>
      </c>
      <c r="R58" s="98">
        <f t="shared" si="32"/>
      </c>
      <c r="S58" s="98">
        <f t="shared" si="32"/>
      </c>
      <c r="T58" s="98">
        <f t="shared" si="32"/>
      </c>
      <c r="U58" s="98">
        <f t="shared" si="32"/>
      </c>
      <c r="V58" s="98">
        <f t="shared" si="32"/>
      </c>
      <c r="W58" s="98">
        <f t="shared" si="32"/>
      </c>
      <c r="X58" s="98">
        <f t="shared" si="32"/>
      </c>
      <c r="Y58" s="98">
        <f t="shared" si="32"/>
      </c>
      <c r="Z58" s="98">
        <f t="shared" si="32"/>
      </c>
      <c r="AA58" s="98">
        <f t="shared" si="33"/>
      </c>
      <c r="AB58" s="98">
        <f t="shared" si="33"/>
      </c>
      <c r="AC58" s="98">
        <f t="shared" si="33"/>
      </c>
      <c r="AD58" s="98">
        <f t="shared" si="33"/>
      </c>
      <c r="AE58" s="98">
        <f t="shared" si="33"/>
      </c>
      <c r="AF58" s="98">
        <f t="shared" si="33"/>
      </c>
      <c r="AG58" s="98">
        <f t="shared" si="33"/>
      </c>
      <c r="AH58" s="98">
        <f t="shared" si="33"/>
      </c>
      <c r="AI58" s="98">
        <f t="shared" si="33"/>
      </c>
      <c r="AJ58" s="98">
        <f t="shared" si="33"/>
      </c>
      <c r="AK58" s="98">
        <f t="shared" si="34"/>
      </c>
      <c r="AL58" s="98">
        <f t="shared" si="34"/>
      </c>
      <c r="AM58" s="98">
        <f t="shared" si="34"/>
      </c>
      <c r="AN58" s="98">
        <f t="shared" si="34"/>
      </c>
      <c r="AO58" s="98">
        <f t="shared" si="34"/>
      </c>
      <c r="AP58" s="98">
        <f t="shared" si="34"/>
      </c>
      <c r="AQ58" s="98">
        <f t="shared" si="34"/>
      </c>
      <c r="AR58" s="98">
        <f t="shared" si="34"/>
      </c>
      <c r="AS58" s="98">
        <f t="shared" si="34"/>
      </c>
      <c r="AT58" s="98">
        <f t="shared" si="34"/>
      </c>
      <c r="AU58" s="98">
        <f t="shared" si="35"/>
      </c>
      <c r="AV58" s="98">
        <f t="shared" si="35"/>
      </c>
      <c r="AW58" s="98">
        <f t="shared" si="35"/>
      </c>
      <c r="AX58" s="98">
        <f t="shared" si="35"/>
      </c>
      <c r="AY58" s="98">
        <f t="shared" si="35"/>
      </c>
      <c r="AZ58" s="98">
        <f t="shared" si="35"/>
      </c>
      <c r="BA58" s="98">
        <f t="shared" si="35"/>
      </c>
      <c r="BB58" s="98">
        <f t="shared" si="35"/>
      </c>
      <c r="BC58" s="98">
        <f t="shared" si="35"/>
      </c>
      <c r="BD58" s="98">
        <f t="shared" si="35"/>
      </c>
      <c r="BE58" s="98">
        <f t="shared" si="35"/>
      </c>
      <c r="BG58" s="75" t="str">
        <f t="shared" si="6"/>
        <v>---</v>
      </c>
      <c r="BH58" s="75" t="str">
        <f t="shared" si="7"/>
        <v>---</v>
      </c>
      <c r="BJ58" s="13"/>
    </row>
    <row r="59" spans="2:62" ht="12.75" customHeight="1">
      <c r="B59" s="42"/>
      <c r="C59" s="13"/>
      <c r="D59" s="182">
        <f t="shared" si="29"/>
        <v>3</v>
      </c>
      <c r="E59" s="198">
        <f>IF(D59="","",Tech!E59)</f>
        <v>1.0297845726805497</v>
      </c>
      <c r="F59" s="192">
        <f t="shared" si="30"/>
        <v>3.734771224661593E-05</v>
      </c>
      <c r="G59" s="133">
        <f t="shared" si="31"/>
        <v>0.4279251663222227</v>
      </c>
      <c r="H59" s="98">
        <f t="shared" si="31"/>
        <v>0.3029135393036509</v>
      </c>
      <c r="I59" s="98">
        <f t="shared" si="31"/>
        <v>0.15455764664500274</v>
      </c>
      <c r="J59" s="98">
        <f t="shared" si="31"/>
        <v>0.06867932205965498</v>
      </c>
      <c r="K59" s="98">
        <f t="shared" si="31"/>
        <v>0.028256212698772494</v>
      </c>
      <c r="L59" s="98">
        <f t="shared" si="31"/>
        <v>0.011066815070671957</v>
      </c>
      <c r="M59" s="98">
        <f t="shared" si="31"/>
        <v>0.004188615499139253</v>
      </c>
      <c r="N59" s="98">
        <f t="shared" si="31"/>
        <v>0.0015459064780898731</v>
      </c>
      <c r="O59" s="98">
        <f t="shared" si="31"/>
        <v>0.0005596416531234036</v>
      </c>
      <c r="P59" s="98">
        <f t="shared" si="31"/>
        <v>0.00019952652947809188</v>
      </c>
      <c r="Q59" s="98">
        <f t="shared" si="32"/>
        <v>7.026002794701972E-05</v>
      </c>
      <c r="R59" s="98">
        <f t="shared" si="32"/>
      </c>
      <c r="S59" s="98">
        <f t="shared" si="32"/>
      </c>
      <c r="T59" s="98">
        <f t="shared" si="32"/>
      </c>
      <c r="U59" s="98">
        <f t="shared" si="32"/>
      </c>
      <c r="V59" s="98">
        <f t="shared" si="32"/>
      </c>
      <c r="W59" s="98">
        <f t="shared" si="32"/>
      </c>
      <c r="X59" s="98">
        <f t="shared" si="32"/>
      </c>
      <c r="Y59" s="98">
        <f t="shared" si="32"/>
      </c>
      <c r="Z59" s="98">
        <f t="shared" si="32"/>
      </c>
      <c r="AA59" s="98">
        <f t="shared" si="33"/>
      </c>
      <c r="AB59" s="98">
        <f t="shared" si="33"/>
      </c>
      <c r="AC59" s="98">
        <f t="shared" si="33"/>
      </c>
      <c r="AD59" s="98">
        <f t="shared" si="33"/>
      </c>
      <c r="AE59" s="98">
        <f t="shared" si="33"/>
      </c>
      <c r="AF59" s="98">
        <f t="shared" si="33"/>
      </c>
      <c r="AG59" s="98">
        <f t="shared" si="33"/>
      </c>
      <c r="AH59" s="98">
        <f t="shared" si="33"/>
      </c>
      <c r="AI59" s="98">
        <f t="shared" si="33"/>
      </c>
      <c r="AJ59" s="98">
        <f t="shared" si="33"/>
      </c>
      <c r="AK59" s="98">
        <f t="shared" si="34"/>
      </c>
      <c r="AL59" s="98">
        <f t="shared" si="34"/>
      </c>
      <c r="AM59" s="98">
        <f t="shared" si="34"/>
      </c>
      <c r="AN59" s="98">
        <f t="shared" si="34"/>
      </c>
      <c r="AO59" s="98">
        <f t="shared" si="34"/>
      </c>
      <c r="AP59" s="98">
        <f t="shared" si="34"/>
      </c>
      <c r="AQ59" s="98">
        <f t="shared" si="34"/>
      </c>
      <c r="AR59" s="98">
        <f t="shared" si="34"/>
      </c>
      <c r="AS59" s="98">
        <f t="shared" si="34"/>
      </c>
      <c r="AT59" s="98">
        <f t="shared" si="34"/>
      </c>
      <c r="AU59" s="98">
        <f t="shared" si="35"/>
      </c>
      <c r="AV59" s="98">
        <f t="shared" si="35"/>
      </c>
      <c r="AW59" s="98">
        <f t="shared" si="35"/>
      </c>
      <c r="AX59" s="98">
        <f t="shared" si="35"/>
      </c>
      <c r="AY59" s="98">
        <f t="shared" si="35"/>
      </c>
      <c r="AZ59" s="98">
        <f t="shared" si="35"/>
      </c>
      <c r="BA59" s="98">
        <f t="shared" si="35"/>
      </c>
      <c r="BB59" s="98">
        <f t="shared" si="35"/>
      </c>
      <c r="BC59" s="98">
        <f t="shared" si="35"/>
      </c>
      <c r="BD59" s="98">
        <f t="shared" si="35"/>
      </c>
      <c r="BE59" s="98">
        <f t="shared" si="35"/>
      </c>
      <c r="BG59" s="75" t="str">
        <f t="shared" si="6"/>
        <v>---</v>
      </c>
      <c r="BH59" s="75" t="str">
        <f t="shared" si="7"/>
        <v>---</v>
      </c>
      <c r="BJ59" s="13"/>
    </row>
    <row r="60" spans="2:62" ht="12.75" customHeight="1">
      <c r="B60" s="88"/>
      <c r="C60" s="23"/>
      <c r="D60" s="185">
        <f t="shared" si="29"/>
        <v>4</v>
      </c>
      <c r="E60" s="199">
        <f>IF(D60="","",Tech!E60)</f>
        <v>0.8632373710390446</v>
      </c>
      <c r="F60" s="195">
        <f t="shared" si="30"/>
        <v>1.0058842026761106E-05</v>
      </c>
      <c r="G60" s="116">
        <f t="shared" si="31"/>
        <v>0.48126929496855986</v>
      </c>
      <c r="H60" s="117">
        <f t="shared" si="31"/>
        <v>0.3007838306064726</v>
      </c>
      <c r="I60" s="117">
        <f t="shared" si="31"/>
        <v>0.13550077248318781</v>
      </c>
      <c r="J60" s="117">
        <f t="shared" si="31"/>
        <v>0.053160951853513654</v>
      </c>
      <c r="K60" s="117">
        <f t="shared" si="31"/>
        <v>0.01931061805965955</v>
      </c>
      <c r="L60" s="117">
        <f t="shared" si="31"/>
        <v>0.006677599224541255</v>
      </c>
      <c r="M60" s="117">
        <f t="shared" si="31"/>
        <v>0.002231432051322368</v>
      </c>
      <c r="N60" s="117">
        <f t="shared" si="31"/>
        <v>0.0007271296642535096</v>
      </c>
      <c r="O60" s="117">
        <f t="shared" si="31"/>
        <v>0.00023240964670913412</v>
      </c>
      <c r="P60" s="117">
        <f t="shared" si="31"/>
        <v>7.315773355931994E-05</v>
      </c>
      <c r="Q60" s="117">
        <f t="shared" si="32"/>
        <v>2.2744866194225512E-05</v>
      </c>
      <c r="R60" s="117">
        <f t="shared" si="32"/>
      </c>
      <c r="S60" s="117">
        <f t="shared" si="32"/>
      </c>
      <c r="T60" s="117">
        <f t="shared" si="32"/>
      </c>
      <c r="U60" s="117">
        <f t="shared" si="32"/>
      </c>
      <c r="V60" s="117">
        <f t="shared" si="32"/>
      </c>
      <c r="W60" s="117">
        <f t="shared" si="32"/>
      </c>
      <c r="X60" s="117">
        <f t="shared" si="32"/>
      </c>
      <c r="Y60" s="117">
        <f t="shared" si="32"/>
      </c>
      <c r="Z60" s="117">
        <f t="shared" si="32"/>
      </c>
      <c r="AA60" s="117">
        <f t="shared" si="33"/>
      </c>
      <c r="AB60" s="117">
        <f t="shared" si="33"/>
      </c>
      <c r="AC60" s="117">
        <f t="shared" si="33"/>
      </c>
      <c r="AD60" s="117">
        <f t="shared" si="33"/>
      </c>
      <c r="AE60" s="117">
        <f t="shared" si="33"/>
      </c>
      <c r="AF60" s="117">
        <f t="shared" si="33"/>
      </c>
      <c r="AG60" s="117">
        <f t="shared" si="33"/>
      </c>
      <c r="AH60" s="117">
        <f t="shared" si="33"/>
      </c>
      <c r="AI60" s="117">
        <f t="shared" si="33"/>
      </c>
      <c r="AJ60" s="117">
        <f t="shared" si="33"/>
      </c>
      <c r="AK60" s="117">
        <f t="shared" si="34"/>
      </c>
      <c r="AL60" s="117">
        <f t="shared" si="34"/>
      </c>
      <c r="AM60" s="117">
        <f t="shared" si="34"/>
      </c>
      <c r="AN60" s="117">
        <f t="shared" si="34"/>
      </c>
      <c r="AO60" s="117">
        <f t="shared" si="34"/>
      </c>
      <c r="AP60" s="117">
        <f t="shared" si="34"/>
      </c>
      <c r="AQ60" s="117">
        <f t="shared" si="34"/>
      </c>
      <c r="AR60" s="117">
        <f t="shared" si="34"/>
      </c>
      <c r="AS60" s="117">
        <f t="shared" si="34"/>
      </c>
      <c r="AT60" s="117">
        <f t="shared" si="34"/>
      </c>
      <c r="AU60" s="117">
        <f t="shared" si="35"/>
      </c>
      <c r="AV60" s="117">
        <f t="shared" si="35"/>
      </c>
      <c r="AW60" s="117">
        <f t="shared" si="35"/>
      </c>
      <c r="AX60" s="117">
        <f t="shared" si="35"/>
      </c>
      <c r="AY60" s="117">
        <f t="shared" si="35"/>
      </c>
      <c r="AZ60" s="117">
        <f t="shared" si="35"/>
      </c>
      <c r="BA60" s="117">
        <f t="shared" si="35"/>
      </c>
      <c r="BB60" s="117">
        <f t="shared" si="35"/>
      </c>
      <c r="BC60" s="117">
        <f t="shared" si="35"/>
      </c>
      <c r="BD60" s="117">
        <f t="shared" si="35"/>
      </c>
      <c r="BE60" s="117">
        <f t="shared" si="35"/>
      </c>
      <c r="BG60" s="75" t="str">
        <f t="shared" si="6"/>
        <v>---</v>
      </c>
      <c r="BH60" s="75" t="str">
        <f t="shared" si="7"/>
        <v>---</v>
      </c>
      <c r="BJ60" s="13"/>
    </row>
    <row r="61" spans="2:62" ht="12.75" customHeight="1">
      <c r="B61" s="13"/>
      <c r="BG61" s="75" t="str">
        <f t="shared" si="6"/>
        <v>---</v>
      </c>
      <c r="BH61" s="75" t="str">
        <f t="shared" si="7"/>
        <v>---</v>
      </c>
      <c r="BJ61" s="13"/>
    </row>
    <row r="62" spans="59:60" s="13" customFormat="1" ht="12.75" customHeight="1">
      <c r="BG62" s="75" t="str">
        <f t="shared" si="6"/>
        <v>---</v>
      </c>
      <c r="BH62" s="75" t="str">
        <f t="shared" si="7"/>
        <v>---</v>
      </c>
    </row>
    <row r="63" spans="59:60" s="13" customFormat="1" ht="12.75" customHeight="1">
      <c r="BG63" s="75" t="str">
        <f t="shared" si="6"/>
        <v>---</v>
      </c>
      <c r="BH63" s="75" t="str">
        <f t="shared" si="7"/>
        <v>---</v>
      </c>
    </row>
    <row r="64" spans="59:60" s="13" customFormat="1" ht="12.75" customHeight="1">
      <c r="BG64" s="75" t="str">
        <f t="shared" si="6"/>
        <v>---</v>
      </c>
      <c r="BH64" s="75" t="str">
        <f t="shared" si="7"/>
        <v>---</v>
      </c>
    </row>
    <row r="65" spans="6:60" s="13" customFormat="1" ht="12.75" customHeight="1">
      <c r="F65" s="144"/>
      <c r="G65" s="144"/>
      <c r="H65" s="144"/>
      <c r="I65" s="144"/>
      <c r="J65" s="145"/>
      <c r="BG65" s="76" t="str">
        <f t="shared" si="6"/>
        <v>---</v>
      </c>
      <c r="BH65" s="76" t="str">
        <f t="shared" si="7"/>
        <v>---</v>
      </c>
    </row>
    <row r="66" spans="6:10" s="13" customFormat="1" ht="12.75" customHeight="1">
      <c r="F66" s="144"/>
      <c r="G66" s="144"/>
      <c r="H66" s="144"/>
      <c r="I66" s="144"/>
      <c r="J66" s="144"/>
    </row>
    <row r="67" s="13" customFormat="1" ht="12.75" customHeight="1"/>
    <row r="68" s="13" customFormat="1" ht="12.75" customHeight="1"/>
    <row r="69" spans="6:10" s="13" customFormat="1" ht="12.75" customHeight="1">
      <c r="F69" s="144"/>
      <c r="G69" s="144"/>
      <c r="H69" s="144"/>
      <c r="I69" s="144"/>
      <c r="J69" s="145"/>
    </row>
    <row r="70" spans="6:10" s="13" customFormat="1" ht="12.75" customHeight="1">
      <c r="F70" s="144"/>
      <c r="G70" s="144"/>
      <c r="H70" s="144"/>
      <c r="I70" s="144"/>
      <c r="J70" s="144"/>
    </row>
    <row r="71" s="13" customFormat="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printOptions/>
  <pageMargins left="0.75" right="0.75" top="1" bottom="1" header="0.5" footer="0.5"/>
  <pageSetup horizontalDpi="300" verticalDpi="300" orientation="portrait" r:id="rId1"/>
  <ignoredErrors>
    <ignoredError sqref="Q72:X79 E72:P79 Y72:BN79" unlockedFormula="1"/>
    <ignoredError sqref="C61:C71 Q3:X14 F3:P14 BO31:BP41 C3:C30 D61:D71 Y3:BN14 BO3:BP14 E3:E15 D3:D30 BO16:BP30 BO42:BP60 BO61:BP71 B31:B60 D31:D45 C31:C41 C42:C47 C59:C60" numberStoredAsText="1"/>
    <ignoredError sqref="E61:P71 E16:P28 Q16:X28 Y29:BN43 Q48:X58 Y16:BN28 Y48:BN58 Y61:BN71 Q61:X71 E29:P43 E48:P58 Q29:X43 BO15:BP15 F15:P15 Q15:X15 Y15:BN15 E44:P45 Y44:BN45 Q44:X45 D48:D58 D46:D47 D59:D60 E46:P47 E59:P60 Y46:BN47 Y59:BN60 Q46:X47 Q59:X60 C48:C58" numberStoredAsText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P66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2.57421875" style="11" customWidth="1"/>
    <col min="2" max="11" width="9.140625" style="11" customWidth="1"/>
    <col min="12" max="15" width="9.7109375" style="11" customWidth="1"/>
    <col min="16" max="16" width="4.57421875" style="11" customWidth="1"/>
    <col min="17" max="17" width="4.28125" style="11" customWidth="1"/>
    <col min="18" max="18" width="10.8515625" style="11" customWidth="1"/>
    <col min="19" max="19" width="10.140625" style="11" customWidth="1"/>
    <col min="20" max="16384" width="9.140625" style="11" customWidth="1"/>
  </cols>
  <sheetData>
    <row r="1" spans="2:15" ht="21.75" customHeight="1">
      <c r="B1" s="207" t="s">
        <v>23</v>
      </c>
      <c r="C1" s="208"/>
      <c r="D1" s="208"/>
      <c r="E1" s="208"/>
      <c r="F1" s="208"/>
      <c r="G1" s="208"/>
      <c r="H1" s="66" t="s">
        <v>116</v>
      </c>
      <c r="I1" s="208"/>
      <c r="J1" s="13"/>
      <c r="K1" s="13"/>
      <c r="L1" s="13"/>
      <c r="M1" s="13"/>
      <c r="N1" s="13"/>
      <c r="O1" s="13"/>
    </row>
    <row r="2" spans="2:15" ht="18" customHeight="1">
      <c r="B2" s="15" t="s">
        <v>16</v>
      </c>
      <c r="C2" s="1"/>
      <c r="D2" s="208"/>
      <c r="E2" s="208"/>
      <c r="F2" s="208"/>
      <c r="G2" s="208"/>
      <c r="H2" s="20"/>
      <c r="I2" s="13"/>
      <c r="J2" s="13"/>
      <c r="K2" s="13"/>
      <c r="L2" s="13"/>
      <c r="N2" s="13"/>
      <c r="O2" s="13"/>
    </row>
    <row r="3" spans="2:15" ht="15" customHeight="1">
      <c r="B3" s="17" t="s">
        <v>41</v>
      </c>
      <c r="C3" s="55"/>
      <c r="D3" s="209"/>
      <c r="E3" s="209"/>
      <c r="F3" s="209"/>
      <c r="G3" s="209"/>
      <c r="H3" s="20"/>
      <c r="I3" s="36"/>
      <c r="J3" s="13" t="s">
        <v>128</v>
      </c>
      <c r="K3" s="13"/>
      <c r="L3" s="13"/>
      <c r="N3" s="210"/>
      <c r="O3" s="13"/>
    </row>
    <row r="4" spans="2:15" ht="15" customHeight="1">
      <c r="B4" s="17" t="s">
        <v>137</v>
      </c>
      <c r="C4" s="2"/>
      <c r="D4" s="35"/>
      <c r="E4" s="35"/>
      <c r="F4" s="35"/>
      <c r="G4" s="35"/>
      <c r="I4" s="35"/>
      <c r="J4" s="13"/>
      <c r="K4" s="13"/>
      <c r="L4" s="13"/>
      <c r="N4" s="13"/>
      <c r="O4" s="13"/>
    </row>
    <row r="5" spans="1:19" ht="15" customHeight="1">
      <c r="A5" s="23"/>
      <c r="B5" s="23"/>
      <c r="C5" s="57"/>
      <c r="D5" s="23"/>
      <c r="E5" s="23"/>
      <c r="F5" s="23"/>
      <c r="G5" s="23"/>
      <c r="H5" s="153"/>
      <c r="I5" s="23"/>
      <c r="J5" s="153"/>
      <c r="K5" s="23"/>
      <c r="L5" s="23"/>
      <c r="M5" s="23"/>
      <c r="N5" s="23"/>
      <c r="O5" s="23"/>
      <c r="P5" s="23"/>
      <c r="Q5" s="23"/>
      <c r="R5" s="23"/>
      <c r="S5" s="23"/>
    </row>
    <row r="6" spans="2:3" ht="24" customHeight="1">
      <c r="B6" s="211" t="s">
        <v>42</v>
      </c>
      <c r="C6" s="13"/>
    </row>
    <row r="7" spans="2:8" ht="18" customHeight="1">
      <c r="B7" s="2" t="s">
        <v>105</v>
      </c>
      <c r="C7" s="2"/>
      <c r="D7" s="2"/>
      <c r="G7" s="147">
        <v>11</v>
      </c>
      <c r="H7" s="212" t="s">
        <v>24</v>
      </c>
    </row>
    <row r="8" ht="18" customHeight="1">
      <c r="B8" s="11" t="s">
        <v>114</v>
      </c>
    </row>
    <row r="9" ht="15" customHeight="1">
      <c r="B9" s="11" t="s">
        <v>113</v>
      </c>
    </row>
    <row r="10" spans="3:12" ht="15" customHeight="1">
      <c r="C10" s="213">
        <v>2</v>
      </c>
      <c r="D10" s="11" t="s">
        <v>106</v>
      </c>
      <c r="K10" s="213">
        <v>5</v>
      </c>
      <c r="L10" s="22" t="s">
        <v>107</v>
      </c>
    </row>
    <row r="11" spans="1:26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19" ht="24" customHeight="1" thickBot="1">
      <c r="B12" s="214" t="s">
        <v>62</v>
      </c>
      <c r="L12" s="67" t="s">
        <v>108</v>
      </c>
      <c r="M12" s="68"/>
      <c r="N12" s="68"/>
      <c r="R12" s="67" t="s">
        <v>60</v>
      </c>
      <c r="S12" s="68"/>
    </row>
    <row r="13" spans="13:17" ht="16.5" customHeight="1" thickTop="1">
      <c r="M13" s="86"/>
      <c r="N13" s="215" t="s">
        <v>109</v>
      </c>
      <c r="O13" s="86"/>
      <c r="P13" s="70"/>
      <c r="Q13" s="70"/>
    </row>
    <row r="14" spans="12:19" ht="17.25" customHeight="1">
      <c r="L14" s="61" t="s">
        <v>110</v>
      </c>
      <c r="M14" s="90" t="s">
        <v>40</v>
      </c>
      <c r="N14" s="90" t="s">
        <v>36</v>
      </c>
      <c r="O14" s="90" t="s">
        <v>111</v>
      </c>
      <c r="P14" s="163" t="s">
        <v>103</v>
      </c>
      <c r="Q14" s="70"/>
      <c r="R14" s="61" t="s">
        <v>61</v>
      </c>
      <c r="S14" s="61" t="s">
        <v>22</v>
      </c>
    </row>
    <row r="15" spans="12:19" ht="13.5" customHeight="1">
      <c r="L15" s="13"/>
      <c r="M15" s="13"/>
      <c r="N15" s="13"/>
      <c r="P15" s="70"/>
      <c r="Q15" s="70"/>
      <c r="R15" s="94"/>
      <c r="S15" s="94"/>
    </row>
    <row r="16" spans="12:19" ht="13.5" customHeight="1">
      <c r="L16" s="216">
        <v>0</v>
      </c>
      <c r="M16" s="217">
        <f>IF(ObP="","",ObP)</f>
        <v>0.3005</v>
      </c>
      <c r="N16" s="217">
        <f>IF(L16="","",IF(C10=1,POISSON(L16,Obm,FALSE),IF(C10=2,POISSON(L16,Epb,FALSE),IF(C10=3,POISSON(L16,$K$10,FALSE),""))))</f>
        <v>0.19986902017413846</v>
      </c>
      <c r="O16" s="217">
        <f aca="true" t="shared" si="0" ref="O16:O47">IF(L16="","",IF(C$10=1,nbt(inva,Obm,L16)*Q16,IF(C$10=2,nbt(inva,Enbase,L16)*Q16,IF(C$10=3,nbt(inva,$K$10,L16)*Q16,""))))</f>
        <v>0.2977543406970707</v>
      </c>
      <c r="P16" s="218">
        <f>IF(L16="","",EXP(GAMMALN(inva+L16))/FACT(L16))</f>
        <v>1.1424405865942335</v>
      </c>
      <c r="Q16" s="218">
        <f aca="true" t="shared" si="1" ref="Q16:Q47">IF(L16="","",Constant*P16)</f>
        <v>6.364234097249728</v>
      </c>
      <c r="R16" s="166" t="str">
        <f>RHV</f>
        <v>FEM</v>
      </c>
      <c r="S16" s="166">
        <f>Bval</f>
        <v>0.4601093</v>
      </c>
    </row>
    <row r="17" spans="12:19" ht="13.5" customHeight="1">
      <c r="L17" s="216">
        <f aca="true" t="shared" si="2" ref="L17:L48">IF(L16&lt;G$7-1,L16+1,"")</f>
        <v>1</v>
      </c>
      <c r="M17" s="217">
        <f aca="true" t="shared" si="3" ref="M17:M65">IF(ObP="","",ObP)</f>
        <v>0.26890000000000003</v>
      </c>
      <c r="N17" s="217">
        <f>IF(L17="","",IF(C10=1,POISSON(L17,Obm,FALSE),IF(C10=2,POISSON(L17,Epb,FALSE),IF(C10=3,POISSON(L17,K10,FALSE),""))))</f>
        <v>0.32180771551652326</v>
      </c>
      <c r="O17" s="217">
        <f t="shared" si="0"/>
        <v>0.27936153111594564</v>
      </c>
      <c r="P17" s="218">
        <f aca="true" t="shared" si="4" ref="P17:P65">IF(L17="","",EXP(GAMMALN(inva+L17))/FACT(L17))</f>
        <v>2.5869283390553166</v>
      </c>
      <c r="Q17" s="218">
        <f t="shared" si="1"/>
        <v>14.411093001902417</v>
      </c>
      <c r="R17" s="166" t="str">
        <f>IF(RHV="","---",RHV)</f>
        <v>MAR</v>
      </c>
      <c r="S17" s="166">
        <f>IF(Bval="","---",Bval)</f>
        <v>0.6622951</v>
      </c>
    </row>
    <row r="18" spans="12:19" ht="13.5" customHeight="1">
      <c r="L18" s="14">
        <f t="shared" si="2"/>
        <v>2</v>
      </c>
      <c r="M18" s="217">
        <f t="shared" si="3"/>
        <v>0.1945</v>
      </c>
      <c r="N18" s="217">
        <f>IF(L18="","",IF(C10=1,POISSON(L18,Obm,FALSE),IF(C10=2,POISSON(L18,Epb,FALSE),IF(C10=3,POISSON(L18,K10,FALSE),""))))</f>
        <v>0.2590701792497292</v>
      </c>
      <c r="O18" s="217">
        <f t="shared" si="0"/>
        <v>0.18892788245751663</v>
      </c>
      <c r="P18" s="218">
        <f t="shared" si="4"/>
        <v>4.222368442502012</v>
      </c>
      <c r="Q18" s="218">
        <f t="shared" si="1"/>
        <v>23.521696907698228</v>
      </c>
      <c r="R18" s="170" t="str">
        <f aca="true" t="shared" si="5" ref="R18:R65">IF(RHV="","---",RHV)</f>
        <v>KID5</v>
      </c>
      <c r="S18" s="170">
        <f aca="true" t="shared" si="6" ref="S18:S65">IF(Bval="","---",Bval)</f>
        <v>0.495082</v>
      </c>
    </row>
    <row r="19" spans="12:19" ht="13.5" customHeight="1">
      <c r="L19" s="14">
        <f t="shared" si="2"/>
        <v>3</v>
      </c>
      <c r="M19" s="217">
        <f t="shared" si="3"/>
        <v>0.09179999999999999</v>
      </c>
      <c r="N19" s="217">
        <f>IF(L19="","",IF(C10=1,POISSON(L19,Obm,FALSE),IF(C10=2,POISSON(L19,Epb,FALSE),IF(C10=3,POISSON(L19,K10,FALSE),""))))</f>
        <v>0.13904236296045894</v>
      </c>
      <c r="O19" s="217">
        <f t="shared" si="0"/>
        <v>0.11127284797396396</v>
      </c>
      <c r="P19" s="218">
        <f t="shared" si="4"/>
        <v>6.001938593493898</v>
      </c>
      <c r="Q19" s="218">
        <f t="shared" si="1"/>
        <v>33.435211156306565</v>
      </c>
      <c r="R19" s="170" t="str">
        <f t="shared" si="5"/>
        <v>PHD</v>
      </c>
      <c r="S19" s="170">
        <f t="shared" si="6"/>
        <v>3.103109</v>
      </c>
    </row>
    <row r="20" spans="12:19" ht="13.5" customHeight="1">
      <c r="L20" s="14">
        <f t="shared" si="2"/>
        <v>4</v>
      </c>
      <c r="M20" s="217">
        <f t="shared" si="3"/>
        <v>0.0732</v>
      </c>
      <c r="N20" s="217">
        <f>IF(L20="","",IF(C10=1,POISSON(L20,Obm,FALSE),IF(C10=2,POISSON(L20,Epb,FALSE),IF(C10=3,POISSON(L20,K10,FALSE),""))))</f>
        <v>0.05596778473389719</v>
      </c>
      <c r="O20" s="217">
        <f t="shared" si="0"/>
        <v>0.060678494776977024</v>
      </c>
      <c r="P20" s="218">
        <f t="shared" si="4"/>
        <v>7.89913283078592</v>
      </c>
      <c r="Q20" s="218">
        <f t="shared" si="1"/>
        <v>44.00397805391332</v>
      </c>
      <c r="R20" s="170" t="str">
        <f t="shared" si="5"/>
        <v>MENT</v>
      </c>
      <c r="S20" s="170">
        <f t="shared" si="6"/>
        <v>8.767212</v>
      </c>
    </row>
    <row r="21" spans="12:19" ht="13.5" customHeight="1">
      <c r="L21" s="14">
        <f t="shared" si="2"/>
        <v>5</v>
      </c>
      <c r="M21" s="217">
        <f t="shared" si="3"/>
        <v>0.029500000000000002</v>
      </c>
      <c r="N21" s="217">
        <f>IF(L21="","",IF(C10=1,POISSON(L21,Obm,FALSE),IF(C10=2,POISSON(L21,Epb,FALSE),IF(C10=3,POISSON(L21,K10,FALSE),""))))</f>
        <v>0.018022667977302134</v>
      </c>
      <c r="O21" s="217">
        <f t="shared" si="0"/>
        <v>0.03149931752553329</v>
      </c>
      <c r="P21" s="218">
        <f t="shared" si="4"/>
        <v>9.89664600794584</v>
      </c>
      <c r="Q21" s="218">
        <f t="shared" si="1"/>
        <v>55.13159521051738</v>
      </c>
      <c r="R21" s="170" t="str">
        <f t="shared" si="5"/>
        <v>---</v>
      </c>
      <c r="S21" s="170" t="str">
        <f t="shared" si="6"/>
        <v>---</v>
      </c>
    </row>
    <row r="22" spans="12:19" ht="13.5" customHeight="1">
      <c r="L22" s="14">
        <f t="shared" si="2"/>
        <v>6</v>
      </c>
      <c r="M22" s="217">
        <f t="shared" si="3"/>
        <v>0.018600000000000002</v>
      </c>
      <c r="N22" s="217">
        <f>IF(L22="","",IF(C10=1,POISSON(L22,Obm,FALSE),IF(C10=2,POISSON(L22,Epb,FALSE),IF(C10=3,POISSON(L22,K10,FALSE),""))))</f>
        <v>0.004836362003672222</v>
      </c>
      <c r="O22" s="217">
        <f t="shared" si="0"/>
        <v>0.015801802540708603</v>
      </c>
      <c r="P22" s="218">
        <f t="shared" si="4"/>
        <v>11.982178816226533</v>
      </c>
      <c r="Q22" s="218">
        <f t="shared" si="1"/>
        <v>66.74954643278706</v>
      </c>
      <c r="R22" s="170" t="str">
        <f t="shared" si="5"/>
        <v>---</v>
      </c>
      <c r="S22" s="170" t="str">
        <f t="shared" si="6"/>
        <v>---</v>
      </c>
    </row>
    <row r="23" spans="12:19" ht="13.5" customHeight="1">
      <c r="L23" s="14">
        <f t="shared" si="2"/>
        <v>7</v>
      </c>
      <c r="M23" s="217">
        <f t="shared" si="3"/>
        <v>0.0131</v>
      </c>
      <c r="N23" s="217">
        <f>IF(L23="","",IF(C10=1,POISSON(L23,Obm,FALSE),IF(C10=2,POISSON(L23,Epb,FALSE),IF(C10=3,POISSON(L23,K10,FALSE),""))))</f>
        <v>0.001112427533403525</v>
      </c>
      <c r="O23" s="217">
        <f t="shared" si="0"/>
        <v>0.00772995553743189</v>
      </c>
      <c r="P23" s="218">
        <f t="shared" si="4"/>
        <v>14.146481494356756</v>
      </c>
      <c r="Q23" s="218">
        <f t="shared" si="1"/>
        <v>78.80630374914587</v>
      </c>
      <c r="R23" s="170" t="str">
        <f t="shared" si="5"/>
        <v>---</v>
      </c>
      <c r="S23" s="170" t="str">
        <f t="shared" si="6"/>
        <v>---</v>
      </c>
    </row>
    <row r="24" spans="12:19" ht="13.5" customHeight="1">
      <c r="L24" s="14">
        <f t="shared" si="2"/>
        <v>8</v>
      </c>
      <c r="M24" s="217">
        <f t="shared" si="3"/>
        <v>0.0011</v>
      </c>
      <c r="N24" s="217">
        <f>IF(L24="","",IF(C10=1,POISSON(L24,Obm,FALSE),IF(C10=2,POISSON(L24,Epb,FALSE),IF(C10=3,POISSON(L24,K10,FALSE),""))))</f>
        <v>0.00022388897669731888</v>
      </c>
      <c r="O24" s="217">
        <f t="shared" si="0"/>
        <v>0.0037090394553476475</v>
      </c>
      <c r="P24" s="218">
        <f t="shared" si="4"/>
        <v>16.382311031068514</v>
      </c>
      <c r="Q24" s="218">
        <f t="shared" si="1"/>
        <v>91.26151826108699</v>
      </c>
      <c r="R24" s="170" t="str">
        <f t="shared" si="5"/>
        <v>---</v>
      </c>
      <c r="S24" s="170" t="str">
        <f t="shared" si="6"/>
        <v>---</v>
      </c>
    </row>
    <row r="25" spans="12:19" ht="13.5" customHeight="1">
      <c r="L25" s="14">
        <f t="shared" si="2"/>
        <v>9</v>
      </c>
      <c r="M25" s="217">
        <f t="shared" si="3"/>
        <v>0.0022</v>
      </c>
      <c r="N25" s="217">
        <f>IF(L25="","",IF(C10=1,POISSON(L25,Obm,FALSE),IF(C10=2,POISSON(L25,Epb,FALSE),IF(C10=3,POISSON(L25,K10,FALSE),""))))</f>
        <v>4.0053564444645074E-05</v>
      </c>
      <c r="O25" s="217">
        <f t="shared" si="0"/>
        <v>0.0017527085881168178</v>
      </c>
      <c r="P25" s="218">
        <f t="shared" si="4"/>
        <v>18.683821199528232</v>
      </c>
      <c r="Q25" s="218">
        <f t="shared" si="1"/>
        <v>104.08262218645083</v>
      </c>
      <c r="R25" s="170" t="str">
        <f t="shared" si="5"/>
        <v>---</v>
      </c>
      <c r="S25" s="170" t="str">
        <f t="shared" si="6"/>
        <v>---</v>
      </c>
    </row>
    <row r="26" spans="12:19" ht="13.5" customHeight="1">
      <c r="L26" s="14">
        <f t="shared" si="2"/>
        <v>10</v>
      </c>
      <c r="M26" s="217">
        <f t="shared" si="3"/>
        <v>0.0011</v>
      </c>
      <c r="N26" s="217">
        <f>IF(L26="","",IF(C10=1,POISSON(L26,Obm,FALSE),IF(C10=2,POISSON(L26,Epb,FALSE),IF(C10=3,POISSON(L26,K10,FALSE),""))))</f>
        <v>6.4489964782910775E-06</v>
      </c>
      <c r="O26" s="217">
        <f t="shared" si="0"/>
        <v>0.0008180409189773808</v>
      </c>
      <c r="P26" s="218">
        <f t="shared" si="4"/>
        <v>21.046180451259733</v>
      </c>
      <c r="Q26" s="218">
        <f t="shared" si="1"/>
        <v>117.2427002476156</v>
      </c>
      <c r="R26" s="170" t="str">
        <f t="shared" si="5"/>
        <v>---</v>
      </c>
      <c r="S26" s="170" t="str">
        <f t="shared" si="6"/>
        <v>---</v>
      </c>
    </row>
    <row r="27" spans="12:19" ht="13.5" customHeight="1">
      <c r="L27" s="14">
        <f t="shared" si="2"/>
      </c>
      <c r="M27" s="217">
        <f t="shared" si="3"/>
      </c>
      <c r="N27" s="217">
        <f>IF(L27="","",IF(C10=1,POISSON(L27,Obm,FALSE),IF(C10=2,POISSON(L27,Epb,FALSE),IF(C10=3,POISSON(L27,K10,FALSE),""))))</f>
      </c>
      <c r="O27" s="217">
        <f t="shared" si="0"/>
      </c>
      <c r="P27" s="218">
        <f t="shared" si="4"/>
      </c>
      <c r="Q27" s="218">
        <f t="shared" si="1"/>
      </c>
      <c r="R27" s="170" t="str">
        <f t="shared" si="5"/>
        <v>---</v>
      </c>
      <c r="S27" s="170" t="str">
        <f t="shared" si="6"/>
        <v>---</v>
      </c>
    </row>
    <row r="28" spans="12:19" ht="13.5" customHeight="1">
      <c r="L28" s="14">
        <f t="shared" si="2"/>
      </c>
      <c r="M28" s="217">
        <f t="shared" si="3"/>
      </c>
      <c r="N28" s="217">
        <f>IF(L28="","",IF(C10=1,POISSON(L28,Obm,FALSE),IF(C10=2,POISSON(L28,Epb,FALSE),IF(C10=3,POISSON(L28,K10,FALSE),""))))</f>
      </c>
      <c r="O28" s="217">
        <f t="shared" si="0"/>
      </c>
      <c r="P28" s="218">
        <f t="shared" si="4"/>
      </c>
      <c r="Q28" s="218">
        <f t="shared" si="1"/>
      </c>
      <c r="R28" s="170" t="str">
        <f t="shared" si="5"/>
        <v>---</v>
      </c>
      <c r="S28" s="170" t="str">
        <f t="shared" si="6"/>
        <v>---</v>
      </c>
    </row>
    <row r="29" spans="12:19" ht="13.5" customHeight="1">
      <c r="L29" s="14">
        <f t="shared" si="2"/>
      </c>
      <c r="M29" s="217">
        <f t="shared" si="3"/>
      </c>
      <c r="N29" s="217">
        <f>IF(L29="","",IF(C10=1,POISSON(L29,Obm,FALSE),IF(C10=2,POISSON(L29,Epb,FALSE),IF(C10=3,POISSON(L29,K10,FALSE),""))))</f>
      </c>
      <c r="O29" s="217">
        <f t="shared" si="0"/>
      </c>
      <c r="P29" s="218">
        <f t="shared" si="4"/>
      </c>
      <c r="Q29" s="218">
        <f t="shared" si="1"/>
      </c>
      <c r="R29" s="170" t="str">
        <f t="shared" si="5"/>
        <v>---</v>
      </c>
      <c r="S29" s="170" t="str">
        <f t="shared" si="6"/>
        <v>---</v>
      </c>
    </row>
    <row r="30" spans="12:19" ht="13.5" customHeight="1">
      <c r="L30" s="14">
        <f t="shared" si="2"/>
      </c>
      <c r="M30" s="217">
        <f t="shared" si="3"/>
      </c>
      <c r="N30" s="217">
        <f>IF(L30="","",IF(C10=1,POISSON(L30,Obm,FALSE),IF(C10=2,POISSON(L30,Epb,FALSE),IF(C10=3,POISSON(L30,K10,FALSE),""))))</f>
      </c>
      <c r="O30" s="217">
        <f t="shared" si="0"/>
      </c>
      <c r="P30" s="218">
        <f t="shared" si="4"/>
      </c>
      <c r="Q30" s="218">
        <f t="shared" si="1"/>
      </c>
      <c r="R30" s="170" t="str">
        <f t="shared" si="5"/>
        <v>---</v>
      </c>
      <c r="S30" s="170" t="str">
        <f t="shared" si="6"/>
        <v>---</v>
      </c>
    </row>
    <row r="31" spans="12:19" ht="13.5" customHeight="1">
      <c r="L31" s="14">
        <f t="shared" si="2"/>
      </c>
      <c r="M31" s="217">
        <f t="shared" si="3"/>
      </c>
      <c r="N31" s="217">
        <f>IF(L31="","",IF(C10=1,POISSON(L31,Obm,FALSE),IF(C10=2,POISSON(L31,Epb,FALSE),IF(C10=3,POISSON(L31,K10,FALSE),""))))</f>
      </c>
      <c r="O31" s="217">
        <f t="shared" si="0"/>
      </c>
      <c r="P31" s="218">
        <f t="shared" si="4"/>
      </c>
      <c r="Q31" s="218">
        <f t="shared" si="1"/>
      </c>
      <c r="R31" s="170" t="str">
        <f t="shared" si="5"/>
        <v>---</v>
      </c>
      <c r="S31" s="170" t="str">
        <f t="shared" si="6"/>
        <v>---</v>
      </c>
    </row>
    <row r="32" spans="12:19" ht="13.5" customHeight="1">
      <c r="L32" s="14">
        <f t="shared" si="2"/>
      </c>
      <c r="M32" s="217">
        <f t="shared" si="3"/>
      </c>
      <c r="N32" s="217">
        <f>IF(L32="","",IF(C10=1,POISSON(L32,Obm,FALSE),IF(C10=2,POISSON(L32,Epb,FALSE),IF(C10=3,POISSON(L32,K10,FALSE),""))))</f>
      </c>
      <c r="O32" s="217">
        <f t="shared" si="0"/>
      </c>
      <c r="P32" s="218">
        <f t="shared" si="4"/>
      </c>
      <c r="Q32" s="218">
        <f t="shared" si="1"/>
      </c>
      <c r="R32" s="170" t="str">
        <f t="shared" si="5"/>
        <v>---</v>
      </c>
      <c r="S32" s="170" t="str">
        <f t="shared" si="6"/>
        <v>---</v>
      </c>
    </row>
    <row r="33" spans="12:19" ht="13.5" customHeight="1">
      <c r="L33" s="14">
        <f t="shared" si="2"/>
      </c>
      <c r="M33" s="217">
        <f t="shared" si="3"/>
      </c>
      <c r="N33" s="217">
        <f>IF(L33="","",IF(C10=1,POISSON(L33,Obm,FALSE),IF(C10=2,POISSON(L33,Epb,FALSE),IF(C10=3,POISSON(L33,K10,FALSE),""))))</f>
      </c>
      <c r="O33" s="217">
        <f t="shared" si="0"/>
      </c>
      <c r="P33" s="218">
        <f t="shared" si="4"/>
      </c>
      <c r="Q33" s="218">
        <f t="shared" si="1"/>
      </c>
      <c r="R33" s="170" t="str">
        <f t="shared" si="5"/>
        <v>---</v>
      </c>
      <c r="S33" s="170" t="str">
        <f t="shared" si="6"/>
        <v>---</v>
      </c>
    </row>
    <row r="34" spans="12:19" ht="13.5" customHeight="1">
      <c r="L34" s="14">
        <f t="shared" si="2"/>
      </c>
      <c r="M34" s="217">
        <f t="shared" si="3"/>
      </c>
      <c r="N34" s="217">
        <f>IF(L34="","",IF(C10=1,POISSON(L34,Obm,FALSE),IF(C10=2,POISSON(L34,Epb,FALSE),IF(C10=3,POISSON(L34,K10,FALSE),""))))</f>
      </c>
      <c r="O34" s="217">
        <f t="shared" si="0"/>
      </c>
      <c r="P34" s="218">
        <f t="shared" si="4"/>
      </c>
      <c r="Q34" s="218">
        <f t="shared" si="1"/>
      </c>
      <c r="R34" s="170" t="str">
        <f t="shared" si="5"/>
        <v>---</v>
      </c>
      <c r="S34" s="170" t="str">
        <f t="shared" si="6"/>
        <v>---</v>
      </c>
    </row>
    <row r="35" spans="12:19" ht="13.5" customHeight="1">
      <c r="L35" s="14">
        <f t="shared" si="2"/>
      </c>
      <c r="M35" s="217">
        <f t="shared" si="3"/>
      </c>
      <c r="N35" s="217">
        <f>IF(L35="","",IF(C10=1,POISSON(L35,Obm,FALSE),IF(C10=2,POISSON(L35,Epb,FALSE),IF(C10=3,POISSON(L35,K10,FALSE),""))))</f>
      </c>
      <c r="O35" s="217">
        <f t="shared" si="0"/>
      </c>
      <c r="P35" s="218">
        <f t="shared" si="4"/>
      </c>
      <c r="Q35" s="218">
        <f t="shared" si="1"/>
      </c>
      <c r="R35" s="170" t="str">
        <f t="shared" si="5"/>
        <v>---</v>
      </c>
      <c r="S35" s="170" t="str">
        <f t="shared" si="6"/>
        <v>---</v>
      </c>
    </row>
    <row r="36" spans="12:19" ht="13.5" customHeight="1">
      <c r="L36" s="14">
        <f t="shared" si="2"/>
      </c>
      <c r="M36" s="217">
        <f t="shared" si="3"/>
      </c>
      <c r="N36" s="217">
        <f>IF(L36="","",IF(C10=1,POISSON(L36,Obm,FALSE),IF(C10=2,POISSON(L36,Epb,FALSE),IF(C10=3,POISSON(L36,K10,FALSE),""))))</f>
      </c>
      <c r="O36" s="217">
        <f t="shared" si="0"/>
      </c>
      <c r="P36" s="218">
        <f t="shared" si="4"/>
      </c>
      <c r="Q36" s="218">
        <f t="shared" si="1"/>
      </c>
      <c r="R36" s="170" t="str">
        <f t="shared" si="5"/>
        <v>---</v>
      </c>
      <c r="S36" s="170" t="str">
        <f t="shared" si="6"/>
        <v>---</v>
      </c>
    </row>
    <row r="37" spans="12:19" ht="13.5" customHeight="1">
      <c r="L37" s="14">
        <f t="shared" si="2"/>
      </c>
      <c r="M37" s="217">
        <f t="shared" si="3"/>
      </c>
      <c r="N37" s="217">
        <f>IF(L37="","",IF(C10=1,POISSON(L37,Obm,FALSE),IF(C10=2,POISSON(L37,Epb,FALSE),IF(C10=3,POISSON(L37,K10,FALSE),""))))</f>
      </c>
      <c r="O37" s="217">
        <f t="shared" si="0"/>
      </c>
      <c r="P37" s="218">
        <f t="shared" si="4"/>
      </c>
      <c r="Q37" s="218">
        <f t="shared" si="1"/>
      </c>
      <c r="R37" s="170" t="str">
        <f t="shared" si="5"/>
        <v>---</v>
      </c>
      <c r="S37" s="170" t="str">
        <f t="shared" si="6"/>
        <v>---</v>
      </c>
    </row>
    <row r="38" spans="12:19" ht="13.5" customHeight="1">
      <c r="L38" s="14">
        <f t="shared" si="2"/>
      </c>
      <c r="M38" s="217">
        <f t="shared" si="3"/>
      </c>
      <c r="N38" s="217">
        <f>IF(L38="","",IF(C10=1,POISSON(L38,Obm,FALSE),IF(C10=2,POISSON(L38,Epb,FALSE),IF(C10=3,POISSON(L38,K10,FALSE),""))))</f>
      </c>
      <c r="O38" s="217">
        <f t="shared" si="0"/>
      </c>
      <c r="P38" s="218">
        <f t="shared" si="4"/>
      </c>
      <c r="Q38" s="218">
        <f t="shared" si="1"/>
      </c>
      <c r="R38" s="170" t="str">
        <f t="shared" si="5"/>
        <v>---</v>
      </c>
      <c r="S38" s="170" t="str">
        <f t="shared" si="6"/>
        <v>---</v>
      </c>
    </row>
    <row r="39" spans="12:19" ht="13.5" customHeight="1">
      <c r="L39" s="14">
        <f t="shared" si="2"/>
      </c>
      <c r="M39" s="217">
        <f t="shared" si="3"/>
      </c>
      <c r="N39" s="217">
        <f>IF(L39="","",IF(C10=1,POISSON(L39,Obm,FALSE),IF(C10=2,POISSON(L39,Epb,FALSE),IF(C10=3,POISSON(L39,K10,FALSE),""))))</f>
      </c>
      <c r="O39" s="217">
        <f t="shared" si="0"/>
      </c>
      <c r="P39" s="218">
        <f t="shared" si="4"/>
      </c>
      <c r="Q39" s="218">
        <f t="shared" si="1"/>
      </c>
      <c r="R39" s="170" t="str">
        <f t="shared" si="5"/>
        <v>---</v>
      </c>
      <c r="S39" s="170" t="str">
        <f t="shared" si="6"/>
        <v>---</v>
      </c>
    </row>
    <row r="40" spans="12:19" ht="13.5" customHeight="1">
      <c r="L40" s="14">
        <f t="shared" si="2"/>
      </c>
      <c r="M40" s="217">
        <f t="shared" si="3"/>
      </c>
      <c r="N40" s="217">
        <f>IF(L40="","",IF(C10=1,POISSON(L40,Obm,FALSE),IF(C10=2,POISSON(L40,Epb,FALSE),IF(C10=3,POISSON(L40,K10,FALSE),""))))</f>
      </c>
      <c r="O40" s="217">
        <f t="shared" si="0"/>
      </c>
      <c r="P40" s="218">
        <f t="shared" si="4"/>
      </c>
      <c r="Q40" s="218">
        <f t="shared" si="1"/>
      </c>
      <c r="R40" s="170" t="str">
        <f t="shared" si="5"/>
        <v>---</v>
      </c>
      <c r="S40" s="170" t="str">
        <f t="shared" si="6"/>
        <v>---</v>
      </c>
    </row>
    <row r="41" spans="12:19" ht="13.5" customHeight="1">
      <c r="L41" s="14">
        <f t="shared" si="2"/>
      </c>
      <c r="M41" s="217">
        <f t="shared" si="3"/>
      </c>
      <c r="N41" s="217">
        <f>IF(L41="","",IF(C10=1,POISSON(L41,Obm,FALSE),IF(C10=2,POISSON(L41,Epb,FALSE),IF(C10=3,POISSON(L41,K10,FALSE),""))))</f>
      </c>
      <c r="O41" s="217">
        <f t="shared" si="0"/>
      </c>
      <c r="P41" s="218">
        <f t="shared" si="4"/>
      </c>
      <c r="Q41" s="218">
        <f t="shared" si="1"/>
      </c>
      <c r="R41" s="170" t="str">
        <f t="shared" si="5"/>
        <v>---</v>
      </c>
      <c r="S41" s="170" t="str">
        <f t="shared" si="6"/>
        <v>---</v>
      </c>
    </row>
    <row r="42" spans="12:19" ht="13.5" customHeight="1">
      <c r="L42" s="14">
        <f t="shared" si="2"/>
      </c>
      <c r="M42" s="217">
        <f t="shared" si="3"/>
      </c>
      <c r="N42" s="217">
        <f>IF(L42="","",IF(C10=1,POISSON(L42,Obm,FALSE),IF(C10=2,POISSON(L42,Epb,FALSE),IF(C10=3,POISSON(L42,K10,FALSE),""))))</f>
      </c>
      <c r="O42" s="217">
        <f t="shared" si="0"/>
      </c>
      <c r="P42" s="218">
        <f t="shared" si="4"/>
      </c>
      <c r="Q42" s="218">
        <f t="shared" si="1"/>
      </c>
      <c r="R42" s="170" t="str">
        <f t="shared" si="5"/>
        <v>---</v>
      </c>
      <c r="S42" s="170" t="str">
        <f t="shared" si="6"/>
        <v>---</v>
      </c>
    </row>
    <row r="43" spans="12:19" ht="13.5" customHeight="1">
      <c r="L43" s="14">
        <f t="shared" si="2"/>
      </c>
      <c r="M43" s="217">
        <f t="shared" si="3"/>
      </c>
      <c r="N43" s="217">
        <f>IF(L43="","",IF(C10=1,POISSON(L43,Obm,FALSE),IF(C10=2,POISSON(L43,Epb,FALSE),IF(C10=3,POISSON(L43,K10,FALSE),""))))</f>
      </c>
      <c r="O43" s="217">
        <f t="shared" si="0"/>
      </c>
      <c r="P43" s="218">
        <f t="shared" si="4"/>
      </c>
      <c r="Q43" s="218">
        <f t="shared" si="1"/>
      </c>
      <c r="R43" s="170" t="str">
        <f t="shared" si="5"/>
        <v>---</v>
      </c>
      <c r="S43" s="170" t="str">
        <f t="shared" si="6"/>
        <v>---</v>
      </c>
    </row>
    <row r="44" spans="1:68" s="69" customFormat="1" ht="13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4">
        <f t="shared" si="2"/>
      </c>
      <c r="M44" s="217">
        <f t="shared" si="3"/>
      </c>
      <c r="N44" s="217">
        <f>IF(L44="","",IF(C10=1,POISSON(L44,Obm,FALSE),IF(C10=2,POISSON(L44,Epb,FALSE),IF(C10=3,POISSON(L44,K10,FALSE),""))))</f>
      </c>
      <c r="O44" s="217">
        <f t="shared" si="0"/>
      </c>
      <c r="P44" s="218">
        <f t="shared" si="4"/>
      </c>
      <c r="Q44" s="218">
        <f t="shared" si="1"/>
      </c>
      <c r="R44" s="170" t="str">
        <f t="shared" si="5"/>
        <v>---</v>
      </c>
      <c r="S44" s="170" t="str">
        <f t="shared" si="6"/>
        <v>---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s="69" customFormat="1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4">
        <f t="shared" si="2"/>
      </c>
      <c r="M45" s="217">
        <f t="shared" si="3"/>
      </c>
      <c r="N45" s="217">
        <f>IF(L45="","",IF(C10=1,POISSON(L45,Obm,FALSE),IF(C10=2,POISSON(L45,Epb,FALSE),IF(C10=3,POISSON(L45,K10,FALSE),""))))</f>
      </c>
      <c r="O45" s="217">
        <f t="shared" si="0"/>
      </c>
      <c r="P45" s="218">
        <f t="shared" si="4"/>
      </c>
      <c r="Q45" s="218">
        <f t="shared" si="1"/>
      </c>
      <c r="R45" s="170" t="str">
        <f t="shared" si="5"/>
        <v>---</v>
      </c>
      <c r="S45" s="170" t="str">
        <f t="shared" si="6"/>
        <v>---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2:19" ht="13.5" customHeight="1">
      <c r="L46" s="14">
        <f t="shared" si="2"/>
      </c>
      <c r="M46" s="217">
        <f t="shared" si="3"/>
      </c>
      <c r="N46" s="217">
        <f>IF(L46="","",IF(C10=1,POISSON(L46,Obm,FALSE),IF(C10=2,POISSON(L46,Epb,FALSE),IF(C10=3,POISSON(L46,K10,FALSE),""))))</f>
      </c>
      <c r="O46" s="217">
        <f t="shared" si="0"/>
      </c>
      <c r="P46" s="218">
        <f t="shared" si="4"/>
      </c>
      <c r="Q46" s="218">
        <f t="shared" si="1"/>
      </c>
      <c r="R46" s="170" t="str">
        <f t="shared" si="5"/>
        <v>---</v>
      </c>
      <c r="S46" s="170" t="str">
        <f t="shared" si="6"/>
        <v>---</v>
      </c>
    </row>
    <row r="47" spans="12:19" ht="13.5" customHeight="1">
      <c r="L47" s="14">
        <f t="shared" si="2"/>
      </c>
      <c r="M47" s="217">
        <f t="shared" si="3"/>
      </c>
      <c r="N47" s="217">
        <f>IF(L47="","",IF(C10=1,POISSON(L47,Obm,FALSE),IF(C10=2,POISSON(L47,Epb,FALSE),IF(C10=3,POISSON(L47,K10,FALSE),""))))</f>
      </c>
      <c r="O47" s="217">
        <f t="shared" si="0"/>
      </c>
      <c r="P47" s="218">
        <f t="shared" si="4"/>
      </c>
      <c r="Q47" s="218">
        <f t="shared" si="1"/>
      </c>
      <c r="R47" s="170" t="str">
        <f t="shared" si="5"/>
        <v>---</v>
      </c>
      <c r="S47" s="170" t="str">
        <f t="shared" si="6"/>
        <v>---</v>
      </c>
    </row>
    <row r="48" spans="12:19" ht="13.5" customHeight="1">
      <c r="L48" s="14">
        <f t="shared" si="2"/>
      </c>
      <c r="M48" s="217">
        <f t="shared" si="3"/>
      </c>
      <c r="N48" s="217">
        <f>IF(L48="","",IF(C10=1,POISSON(L48,Obm,FALSE),IF(C10=2,POISSON(L48,Epb,FALSE),IF(C10=3,POISSON(L48,K10,FALSE),""))))</f>
      </c>
      <c r="O48" s="217">
        <f aca="true" t="shared" si="7" ref="O48:O65">IF(L48="","",IF(C$10=1,nbt(inva,Obm,L48)*Q48,IF(C$10=2,nbt(inva,Enbase,L48)*Q48,IF(C$10=3,nbt(inva,$K$10,L48)*Q48,""))))</f>
      </c>
      <c r="P48" s="218">
        <f t="shared" si="4"/>
      </c>
      <c r="Q48" s="218">
        <f aca="true" t="shared" si="8" ref="Q48:Q65">IF(L48="","",Constant*P48)</f>
      </c>
      <c r="R48" s="170" t="str">
        <f t="shared" si="5"/>
        <v>---</v>
      </c>
      <c r="S48" s="170" t="str">
        <f t="shared" si="6"/>
        <v>---</v>
      </c>
    </row>
    <row r="49" spans="12:19" ht="13.5" customHeight="1">
      <c r="L49" s="14">
        <f aca="true" t="shared" si="9" ref="L49:L65">IF(L48&lt;G$7-1,L48+1,"")</f>
      </c>
      <c r="M49" s="217">
        <f t="shared" si="3"/>
      </c>
      <c r="N49" s="217">
        <f>IF(L49="","",IF(C10=1,POISSON(L49,Obm,FALSE),IF(C10=2,POISSON(L49,Epb,FALSE),IF(C10=3,POISSON(L49,K10,FALSE),""))))</f>
      </c>
      <c r="O49" s="217">
        <f t="shared" si="7"/>
      </c>
      <c r="P49" s="218">
        <f t="shared" si="4"/>
      </c>
      <c r="Q49" s="218">
        <f t="shared" si="8"/>
      </c>
      <c r="R49" s="170" t="str">
        <f t="shared" si="5"/>
        <v>---</v>
      </c>
      <c r="S49" s="170" t="str">
        <f t="shared" si="6"/>
        <v>---</v>
      </c>
    </row>
    <row r="50" spans="1:19" ht="13.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L50" s="14">
        <f t="shared" si="9"/>
      </c>
      <c r="M50" s="217">
        <f t="shared" si="3"/>
      </c>
      <c r="N50" s="217">
        <f>IF(L50="","",IF(C10=1,POISSON(L50,Obm,FALSE),IF(C10=2,POISSON(L50,Epb,FALSE),IF(C10=3,POISSON(L50,K10,FALSE),""))))</f>
      </c>
      <c r="O50" s="217">
        <f t="shared" si="7"/>
      </c>
      <c r="P50" s="218">
        <f t="shared" si="4"/>
      </c>
      <c r="Q50" s="218">
        <f t="shared" si="8"/>
      </c>
      <c r="R50" s="170" t="str">
        <f t="shared" si="5"/>
        <v>---</v>
      </c>
      <c r="S50" s="170" t="str">
        <f t="shared" si="6"/>
        <v>---</v>
      </c>
    </row>
    <row r="51" spans="1:19" ht="13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L51" s="14">
        <f t="shared" si="9"/>
      </c>
      <c r="M51" s="217">
        <f t="shared" si="3"/>
      </c>
      <c r="N51" s="217">
        <f>IF(L51="","",IF(C10=1,POISSON(L51,Obm,FALSE),IF(C10=2,POISSON(L51,Epb,FALSE),IF(C10=3,POISSON(L51,K10,FALSE),""))))</f>
      </c>
      <c r="O51" s="217">
        <f t="shared" si="7"/>
      </c>
      <c r="P51" s="218">
        <f t="shared" si="4"/>
      </c>
      <c r="Q51" s="218">
        <f t="shared" si="8"/>
      </c>
      <c r="R51" s="170" t="str">
        <f t="shared" si="5"/>
        <v>---</v>
      </c>
      <c r="S51" s="170" t="str">
        <f t="shared" si="6"/>
        <v>---</v>
      </c>
    </row>
    <row r="52" spans="1:19" ht="13.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L52" s="14">
        <f t="shared" si="9"/>
      </c>
      <c r="M52" s="217">
        <f t="shared" si="3"/>
      </c>
      <c r="N52" s="217">
        <f>IF(L52="","",IF(C10=1,POISSON(L52,Obm,FALSE),IF(C10=2,POISSON(L52,Epb,FALSE),IF(C10=3,POISSON(L52,K10,FALSE),""))))</f>
      </c>
      <c r="O52" s="217">
        <f t="shared" si="7"/>
      </c>
      <c r="P52" s="218">
        <f t="shared" si="4"/>
      </c>
      <c r="Q52" s="218">
        <f t="shared" si="8"/>
      </c>
      <c r="R52" s="170" t="str">
        <f t="shared" si="5"/>
        <v>---</v>
      </c>
      <c r="S52" s="170" t="str">
        <f t="shared" si="6"/>
        <v>---</v>
      </c>
    </row>
    <row r="53" spans="1:19" ht="13.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L53" s="14">
        <f t="shared" si="9"/>
      </c>
      <c r="M53" s="217">
        <f t="shared" si="3"/>
      </c>
      <c r="N53" s="217">
        <f>IF(L53="","",IF(C10=1,POISSON(L53,Obm,FALSE),IF(C10=2,POISSON(L53,Epb,FALSE),IF(C10=3,POISSON(L53,K10,FALSE),""))))</f>
      </c>
      <c r="O53" s="217">
        <f t="shared" si="7"/>
      </c>
      <c r="P53" s="218">
        <f t="shared" si="4"/>
      </c>
      <c r="Q53" s="218">
        <f t="shared" si="8"/>
      </c>
      <c r="R53" s="170" t="str">
        <f t="shared" si="5"/>
        <v>---</v>
      </c>
      <c r="S53" s="170" t="str">
        <f t="shared" si="6"/>
        <v>---</v>
      </c>
    </row>
    <row r="54" spans="1:19" ht="13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L54" s="14">
        <f t="shared" si="9"/>
      </c>
      <c r="M54" s="217">
        <f t="shared" si="3"/>
      </c>
      <c r="N54" s="217">
        <f>IF(L54="","",IF(C10=1,POISSON(L54,Obm,FALSE),IF(C10=2,POISSON(L54,Epb,FALSE),IF(C10=3,POISSON(L54,K10,FALSE),""))))</f>
      </c>
      <c r="O54" s="217">
        <f t="shared" si="7"/>
      </c>
      <c r="P54" s="218">
        <f t="shared" si="4"/>
      </c>
      <c r="Q54" s="218">
        <f t="shared" si="8"/>
      </c>
      <c r="R54" s="170" t="str">
        <f t="shared" si="5"/>
        <v>---</v>
      </c>
      <c r="S54" s="170" t="str">
        <f t="shared" si="6"/>
        <v>---</v>
      </c>
    </row>
    <row r="55" spans="1:19" ht="13.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L55" s="14">
        <f t="shared" si="9"/>
      </c>
      <c r="M55" s="217">
        <f t="shared" si="3"/>
      </c>
      <c r="N55" s="217">
        <f>IF(L55="","",IF(C10=1,POISSON(L55,Obm,FALSE),IF(C10=2,POISSON(L55,Epb,FALSE),IF(C10=3,POISSON(L55,K10,FALSE),""))))</f>
      </c>
      <c r="O55" s="217">
        <f t="shared" si="7"/>
      </c>
      <c r="P55" s="218">
        <f t="shared" si="4"/>
      </c>
      <c r="Q55" s="218">
        <f t="shared" si="8"/>
      </c>
      <c r="R55" s="170" t="str">
        <f t="shared" si="5"/>
        <v>---</v>
      </c>
      <c r="S55" s="170" t="str">
        <f t="shared" si="6"/>
        <v>---</v>
      </c>
    </row>
    <row r="56" spans="12:19" ht="13.5" customHeight="1">
      <c r="L56" s="14">
        <f t="shared" si="9"/>
      </c>
      <c r="M56" s="217">
        <f t="shared" si="3"/>
      </c>
      <c r="N56" s="217">
        <f>IF(L56="","",IF(C10=1,POISSON(L56,Obm,FALSE),IF(C10=2,POISSON(L56,Epb,FALSE),IF(C10=3,POISSON(L56,K10,FALSE),""))))</f>
      </c>
      <c r="O56" s="217">
        <f t="shared" si="7"/>
      </c>
      <c r="P56" s="218">
        <f t="shared" si="4"/>
      </c>
      <c r="Q56" s="218">
        <f t="shared" si="8"/>
      </c>
      <c r="R56" s="170" t="str">
        <f t="shared" si="5"/>
        <v>---</v>
      </c>
      <c r="S56" s="170" t="str">
        <f t="shared" si="6"/>
        <v>---</v>
      </c>
    </row>
    <row r="57" spans="12:19" ht="13.5" customHeight="1">
      <c r="L57" s="14">
        <f t="shared" si="9"/>
      </c>
      <c r="M57" s="217">
        <f t="shared" si="3"/>
      </c>
      <c r="N57" s="217">
        <f>IF(L57="","",IF(C10=1,POISSON(L57,Obm,FALSE),IF(C10=2,POISSON(L57,Epb,FALSE),IF(C10=3,POISSON(L57,K10,FALSE),""))))</f>
      </c>
      <c r="O57" s="217">
        <f t="shared" si="7"/>
      </c>
      <c r="P57" s="218">
        <f t="shared" si="4"/>
      </c>
      <c r="Q57" s="218">
        <f t="shared" si="8"/>
      </c>
      <c r="R57" s="170" t="str">
        <f t="shared" si="5"/>
        <v>---</v>
      </c>
      <c r="S57" s="170" t="str">
        <f t="shared" si="6"/>
        <v>---</v>
      </c>
    </row>
    <row r="58" spans="12:19" ht="13.5" customHeight="1">
      <c r="L58" s="14">
        <f t="shared" si="9"/>
      </c>
      <c r="M58" s="217">
        <f t="shared" si="3"/>
      </c>
      <c r="N58" s="217">
        <f>IF(L58="","",IF(C10=1,POISSON(L58,Obm,FALSE),IF(C10=2,POISSON(L58,Epb,FALSE),IF(C10=3,POISSON(L58,K10,FALSE),""))))</f>
      </c>
      <c r="O58" s="217">
        <f t="shared" si="7"/>
      </c>
      <c r="P58" s="218">
        <f t="shared" si="4"/>
      </c>
      <c r="Q58" s="218">
        <f t="shared" si="8"/>
      </c>
      <c r="R58" s="170" t="str">
        <f t="shared" si="5"/>
        <v>---</v>
      </c>
      <c r="S58" s="170" t="str">
        <f t="shared" si="6"/>
        <v>---</v>
      </c>
    </row>
    <row r="59" spans="12:19" ht="13.5" customHeight="1">
      <c r="L59" s="14">
        <f t="shared" si="9"/>
      </c>
      <c r="M59" s="217">
        <f t="shared" si="3"/>
      </c>
      <c r="N59" s="217">
        <f>IF(L59="","",IF(C10=1,POISSON(L59,Obm,FALSE),IF(C10=2,POISSON(L59,Epb,FALSE),IF(C10=3,POISSON(L59,K10,FALSE),""))))</f>
      </c>
      <c r="O59" s="217">
        <f t="shared" si="7"/>
      </c>
      <c r="P59" s="218">
        <f t="shared" si="4"/>
      </c>
      <c r="Q59" s="218">
        <f t="shared" si="8"/>
      </c>
      <c r="R59" s="170" t="str">
        <f t="shared" si="5"/>
        <v>---</v>
      </c>
      <c r="S59" s="170" t="str">
        <f t="shared" si="6"/>
        <v>---</v>
      </c>
    </row>
    <row r="60" spans="12:19" ht="13.5" customHeight="1">
      <c r="L60" s="14">
        <f t="shared" si="9"/>
      </c>
      <c r="M60" s="217">
        <f t="shared" si="3"/>
      </c>
      <c r="N60" s="217">
        <f>IF(L60="","",IF(C10=1,POISSON(L60,Obm,FALSE),IF(C10=2,POISSON(L60,Epb,FALSE),IF(C10=3,POISSON(L60,K10,FALSE),""))))</f>
      </c>
      <c r="O60" s="217">
        <f t="shared" si="7"/>
      </c>
      <c r="P60" s="218">
        <f t="shared" si="4"/>
      </c>
      <c r="Q60" s="218">
        <f t="shared" si="8"/>
      </c>
      <c r="R60" s="170" t="str">
        <f t="shared" si="5"/>
        <v>---</v>
      </c>
      <c r="S60" s="170" t="str">
        <f t="shared" si="6"/>
        <v>---</v>
      </c>
    </row>
    <row r="61" spans="12:19" ht="13.5" customHeight="1">
      <c r="L61" s="14">
        <f t="shared" si="9"/>
      </c>
      <c r="M61" s="217">
        <f t="shared" si="3"/>
      </c>
      <c r="N61" s="217">
        <f>IF(L61="","",IF(C10=1,POISSON(L61,Obm,FALSE),IF(C10=2,POISSON(L61,Epb,FALSE),IF(C10=3,POISSON(L61,K10,FALSE),""))))</f>
      </c>
      <c r="O61" s="217">
        <f t="shared" si="7"/>
      </c>
      <c r="P61" s="218">
        <f t="shared" si="4"/>
      </c>
      <c r="Q61" s="218">
        <f t="shared" si="8"/>
      </c>
      <c r="R61" s="170" t="str">
        <f t="shared" si="5"/>
        <v>---</v>
      </c>
      <c r="S61" s="170" t="str">
        <f t="shared" si="6"/>
        <v>---</v>
      </c>
    </row>
    <row r="62" spans="12:19" ht="13.5" customHeight="1">
      <c r="L62" s="14">
        <f t="shared" si="9"/>
      </c>
      <c r="M62" s="217">
        <f t="shared" si="3"/>
      </c>
      <c r="N62" s="217">
        <f>IF(L62="","",IF(C10=1,POISSON(L62,Obm,FALSE),IF(C10=2,POISSON(L62,Epb,FALSE),IF(C10=3,POISSON(L62,K10,FALSE),""))))</f>
      </c>
      <c r="O62" s="217">
        <f t="shared" si="7"/>
      </c>
      <c r="P62" s="218">
        <f t="shared" si="4"/>
      </c>
      <c r="Q62" s="218">
        <f t="shared" si="8"/>
      </c>
      <c r="R62" s="170" t="str">
        <f t="shared" si="5"/>
        <v>---</v>
      </c>
      <c r="S62" s="170" t="str">
        <f t="shared" si="6"/>
        <v>---</v>
      </c>
    </row>
    <row r="63" spans="12:19" ht="13.5" customHeight="1">
      <c r="L63" s="14">
        <f t="shared" si="9"/>
      </c>
      <c r="M63" s="217">
        <f t="shared" si="3"/>
      </c>
      <c r="N63" s="217">
        <f>IF(L63="","",IF(C10=1,POISSON(L63,Obm,FALSE),IF(C10=2,POISSON(L63,Epb,FALSE),IF(C10=3,POISSON(L63,K10,FALSE),""))))</f>
      </c>
      <c r="O63" s="217">
        <f t="shared" si="7"/>
      </c>
      <c r="P63" s="218">
        <f t="shared" si="4"/>
      </c>
      <c r="Q63" s="218">
        <f t="shared" si="8"/>
      </c>
      <c r="R63" s="170" t="str">
        <f t="shared" si="5"/>
        <v>---</v>
      </c>
      <c r="S63" s="170" t="str">
        <f t="shared" si="6"/>
        <v>---</v>
      </c>
    </row>
    <row r="64" spans="12:19" ht="13.5" customHeight="1">
      <c r="L64" s="14">
        <f t="shared" si="9"/>
      </c>
      <c r="M64" s="217">
        <f t="shared" si="3"/>
      </c>
      <c r="N64" s="217">
        <f>IF(L64="","",IF(C10=1,POISSON(L64,Obm,FALSE),IF(C10=2,POISSON(L64,Epb,FALSE),IF(C10=3,POISSON(L64,K10,FALSE),""))))</f>
      </c>
      <c r="O64" s="217">
        <f t="shared" si="7"/>
      </c>
      <c r="P64" s="218">
        <f t="shared" si="4"/>
      </c>
      <c r="Q64" s="218">
        <f t="shared" si="8"/>
      </c>
      <c r="R64" s="170" t="str">
        <f t="shared" si="5"/>
        <v>---</v>
      </c>
      <c r="S64" s="170" t="str">
        <f t="shared" si="6"/>
        <v>---</v>
      </c>
    </row>
    <row r="65" spans="12:19" ht="13.5" customHeight="1">
      <c r="L65" s="61">
        <f t="shared" si="9"/>
      </c>
      <c r="M65" s="219">
        <f t="shared" si="3"/>
      </c>
      <c r="N65" s="217">
        <f>IF(L65="","",IF(C10=1,POISSON(L65,Obm,FALSE),IF(C10=2,POISSON(L65,Epb,FALSE),IF(C10=3,POISSON(L65,K10,FALSE),""))))</f>
      </c>
      <c r="O65" s="219">
        <f t="shared" si="7"/>
      </c>
      <c r="P65" s="218">
        <f t="shared" si="4"/>
      </c>
      <c r="Q65" s="218">
        <f t="shared" si="8"/>
      </c>
      <c r="R65" s="173" t="str">
        <f t="shared" si="5"/>
        <v>---</v>
      </c>
      <c r="S65" s="173" t="str">
        <f t="shared" si="6"/>
        <v>---</v>
      </c>
    </row>
    <row r="66" spans="16:17" ht="12.75">
      <c r="P66" s="70"/>
      <c r="Q66" s="70"/>
    </row>
  </sheetData>
  <printOptions/>
  <pageMargins left="0.75" right="0.75" top="1" bottom="1" header="0.5" footer="0.5"/>
  <pageSetup horizontalDpi="300" verticalDpi="300" orientation="portrait" r:id="rId2"/>
  <ignoredErrors>
    <ignoredError sqref="M17:S65 M16:S16 L17:L6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11" customWidth="1"/>
    <col min="2" max="20" width="9.140625" style="11" customWidth="1"/>
    <col min="21" max="21" width="11.140625" style="11" customWidth="1"/>
    <col min="22" max="16384" width="9.140625" style="11" customWidth="1"/>
  </cols>
  <sheetData>
    <row r="1" spans="1:15" ht="21.75" customHeight="1">
      <c r="A1" s="13"/>
      <c r="B1" s="51" t="s">
        <v>63</v>
      </c>
      <c r="C1" s="13"/>
      <c r="D1" s="13"/>
      <c r="E1" s="13"/>
      <c r="F1" s="13"/>
      <c r="G1" s="66" t="s">
        <v>116</v>
      </c>
      <c r="H1" s="13"/>
      <c r="I1" s="13"/>
      <c r="J1" s="13"/>
      <c r="K1" s="13"/>
      <c r="L1" s="13"/>
      <c r="M1" s="13"/>
      <c r="N1" s="13"/>
      <c r="O1" s="13"/>
    </row>
    <row r="2" spans="1:15" ht="18" customHeight="1">
      <c r="A2" s="13"/>
      <c r="B2" s="13"/>
      <c r="C2" s="15" t="s">
        <v>16</v>
      </c>
      <c r="D2" s="16"/>
      <c r="E2" s="13"/>
      <c r="F2" s="13"/>
      <c r="G2" s="13"/>
      <c r="I2" s="13"/>
      <c r="J2" s="13"/>
      <c r="K2" s="13"/>
      <c r="L2" s="13"/>
      <c r="M2" s="13"/>
      <c r="N2" s="13"/>
      <c r="O2" s="13"/>
    </row>
    <row r="3" spans="1:15" ht="15" customHeight="1">
      <c r="A3" s="13"/>
      <c r="B3" s="13"/>
      <c r="C3" s="154" t="s">
        <v>129</v>
      </c>
      <c r="D3" s="34" t="s">
        <v>130</v>
      </c>
      <c r="E3" s="35"/>
      <c r="O3" s="13"/>
    </row>
    <row r="4" spans="1:15" ht="15" customHeight="1">
      <c r="A4" s="13"/>
      <c r="B4" s="13"/>
      <c r="C4" s="52"/>
      <c r="D4" s="2" t="s">
        <v>131</v>
      </c>
      <c r="E4" s="35"/>
      <c r="F4" s="35"/>
      <c r="G4" s="35"/>
      <c r="I4" s="35"/>
      <c r="J4" s="13"/>
      <c r="K4" s="13"/>
      <c r="L4" s="13"/>
      <c r="M4" s="13"/>
      <c r="N4" s="13"/>
      <c r="O4" s="13"/>
    </row>
    <row r="5" spans="3:15" ht="15" customHeight="1">
      <c r="C5" s="154" t="s">
        <v>132</v>
      </c>
      <c r="D5" s="11" t="s">
        <v>116</v>
      </c>
      <c r="O5" s="13"/>
    </row>
    <row r="6" ht="15" customHeight="1"/>
    <row r="7" ht="15" customHeight="1"/>
    <row r="8" ht="15" customHeight="1">
      <c r="E8" s="53"/>
    </row>
    <row r="9" ht="15" customHeight="1">
      <c r="E9" s="54"/>
    </row>
    <row r="10" ht="15" customHeight="1"/>
    <row r="11" spans="1:21" ht="15" customHeight="1">
      <c r="A11" s="23"/>
      <c r="B11" s="23"/>
      <c r="C11" s="23"/>
      <c r="D11" s="4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24" customHeight="1" thickBot="1">
      <c r="B12" s="67" t="s">
        <v>64</v>
      </c>
      <c r="C12" s="68"/>
      <c r="D12" s="68"/>
      <c r="E12" s="68"/>
      <c r="F12" s="68"/>
      <c r="G12" s="68"/>
      <c r="H12" s="68"/>
      <c r="I12" s="68"/>
      <c r="K12" s="67" t="s">
        <v>65</v>
      </c>
      <c r="L12" s="68"/>
      <c r="M12" s="68"/>
      <c r="N12" s="68"/>
      <c r="O12" s="68"/>
      <c r="P12" s="68"/>
      <c r="Q12" s="68"/>
      <c r="R12" s="68"/>
      <c r="T12" s="67" t="s">
        <v>112</v>
      </c>
      <c r="U12" s="68"/>
    </row>
    <row r="13" spans="2:18" ht="13.5" customHeight="1" thickTop="1">
      <c r="B13" s="155"/>
      <c r="C13" s="269" t="s">
        <v>33</v>
      </c>
      <c r="D13" s="270"/>
      <c r="E13" s="157" t="s">
        <v>29</v>
      </c>
      <c r="F13" s="158"/>
      <c r="G13" s="156" t="s">
        <v>35</v>
      </c>
      <c r="H13" s="158"/>
      <c r="I13" s="158"/>
      <c r="L13" s="269" t="s">
        <v>33</v>
      </c>
      <c r="M13" s="270"/>
      <c r="N13" s="157" t="s">
        <v>29</v>
      </c>
      <c r="O13" s="158"/>
      <c r="P13" s="156" t="s">
        <v>35</v>
      </c>
      <c r="Q13" s="158"/>
      <c r="R13" s="158"/>
    </row>
    <row r="14" spans="2:22" ht="13.5" customHeight="1">
      <c r="B14" s="159" t="s">
        <v>12</v>
      </c>
      <c r="C14" s="160" t="s">
        <v>34</v>
      </c>
      <c r="D14" s="160" t="s">
        <v>44</v>
      </c>
      <c r="E14" s="160" t="s">
        <v>30</v>
      </c>
      <c r="F14" s="161" t="s">
        <v>27</v>
      </c>
      <c r="G14" s="162" t="s">
        <v>31</v>
      </c>
      <c r="H14" s="162" t="s">
        <v>32</v>
      </c>
      <c r="I14" s="162" t="s">
        <v>28</v>
      </c>
      <c r="K14" s="141" t="s">
        <v>12</v>
      </c>
      <c r="L14" s="160" t="s">
        <v>34</v>
      </c>
      <c r="M14" s="160" t="s">
        <v>44</v>
      </c>
      <c r="N14" s="160" t="s">
        <v>30</v>
      </c>
      <c r="O14" s="161" t="s">
        <v>27</v>
      </c>
      <c r="P14" s="162" t="s">
        <v>31</v>
      </c>
      <c r="Q14" s="162" t="s">
        <v>32</v>
      </c>
      <c r="R14" s="162" t="s">
        <v>28</v>
      </c>
      <c r="T14" s="61" t="s">
        <v>61</v>
      </c>
      <c r="U14" s="61" t="s">
        <v>22</v>
      </c>
      <c r="V14" s="163" t="s">
        <v>49</v>
      </c>
    </row>
    <row r="15" spans="2:22" ht="7.5" customHeight="1">
      <c r="B15" s="164"/>
      <c r="K15" s="164"/>
      <c r="T15" s="94"/>
      <c r="U15" s="94"/>
      <c r="V15" s="70"/>
    </row>
    <row r="16" spans="2:22" ht="13.5" customHeight="1">
      <c r="B16" s="164" t="str">
        <f>IF(RHV="","",RHV)</f>
        <v>FEM</v>
      </c>
      <c r="C16" s="165">
        <f>IF(PB="","",EXP(PB))</f>
        <v>0.7988403223971301</v>
      </c>
      <c r="D16" s="165">
        <f>IF(PB="","",EXP(PB*Sd))</f>
        <v>0.8940439301524064</v>
      </c>
      <c r="E16" s="165">
        <f>IF(PB="","",EXP(Psbase)*PB)</f>
        <v>-0.3616175551232983</v>
      </c>
      <c r="F16" s="165">
        <f>IF(V16="b",EXP(Psbase-PB*(Bval-1))-EXP(Psbase-PB*Bval),IF(V16="c","---",""))</f>
        <v>-0.3591459480039776</v>
      </c>
      <c r="G16" s="165" t="str">
        <f>IF(V16="c",EXP(Psbase-PB*(Bval-MAX))-EXP(Psbase-PB*(Bval-MIN)),IF(V16="b","---",""))</f>
        <v>---</v>
      </c>
      <c r="H16" s="165" t="str">
        <f>IF(V16="c",EXP(Psbase+PB*0.5)-EXP(Psbase-PB*0.5),IF(V16="b","---",""))</f>
        <v>---</v>
      </c>
      <c r="I16" s="165" t="str">
        <f>IF(V16="c",EXP(Psbase+PB*0.5*Sd)-EXP(Psbase-PB*0.5*Sd),IF(V16="b","---",""))</f>
        <v>---</v>
      </c>
      <c r="K16" s="164" t="str">
        <f>IF(RHV="","",RHV)</f>
        <v>FEM</v>
      </c>
      <c r="L16" s="165">
        <f>IF(NB="","",EXP(NB))</f>
        <v>0.8053982527387717</v>
      </c>
      <c r="M16" s="165">
        <f>IF(NB="","",EXP(NB*Sd))</f>
        <v>0.8976964758248525</v>
      </c>
      <c r="N16" s="165">
        <f>IF(NB="","",EXP(Nsbase)*NB)</f>
        <v>-0.346703105050596</v>
      </c>
      <c r="O16" s="165">
        <f>IF(V16="b",EXP(Nsbase-NB*(Bval-1))-EXP(Nsbase-NB*Bval),IF(V16="c","---",""))</f>
        <v>-0.3443940529533087</v>
      </c>
      <c r="P16" s="165" t="str">
        <f>IF(V16="c",EXP(Nsbase-NB*(Bval-MAX))-EXP(Nsbase-NB*(Bval-MIN)),IF(V16="b","---",""))</f>
        <v>---</v>
      </c>
      <c r="Q16" s="165" t="str">
        <f>IF(V16="c",EXP(Nsbase+NB*0.5)-EXP(Nsbase-NB*0.5),IF(V16="b","---",""))</f>
        <v>---</v>
      </c>
      <c r="R16" s="165" t="str">
        <f>IF(V16="c",EXP(Nsbase+NB*0.5*Sd)-EXP(Nsbase-NB*0.5*Sd),IF(V16="b","---",""))</f>
        <v>---</v>
      </c>
      <c r="T16" s="166" t="str">
        <f>RHV</f>
        <v>FEM</v>
      </c>
      <c r="U16" s="166">
        <f>Bval</f>
        <v>0.4601093</v>
      </c>
      <c r="V16" s="163" t="str">
        <f>IF(Vtype="","",Vtype)</f>
        <v>b</v>
      </c>
    </row>
    <row r="17" spans="2:22" ht="13.5" customHeight="1">
      <c r="B17" s="164" t="str">
        <f>IF(RHV="","",RHV)</f>
        <v>MAR</v>
      </c>
      <c r="C17" s="167">
        <f aca="true" t="shared" si="0" ref="C17:C65">IF(PB="","",EXP(PB))</f>
        <v>1.1679422036437717</v>
      </c>
      <c r="D17" s="167">
        <f aca="true" t="shared" si="1" ref="D17:D65">IF(PB="","",EXP(PB*Sd))</f>
        <v>1.0762244143035613</v>
      </c>
      <c r="E17" s="167">
        <f aca="true" t="shared" si="2" ref="E17:E65">IF(PB="","",EXP(Psbase)*PB)</f>
        <v>0.24995631568859858</v>
      </c>
      <c r="F17" s="167">
        <f aca="true" t="shared" si="3" ref="F17:F65">IF(V17="b",EXP(Psbase-PB*(Bval-1))-EXP(Psbase-PB*Bval),IF(V17="c","---",""))</f>
        <v>0.2439821113999987</v>
      </c>
      <c r="G17" s="167" t="str">
        <f aca="true" t="shared" si="4" ref="G17:G65">IF(V17="c",EXP(Psbase-PB*(Bval-MAX))-EXP(Psbase-PB*(Bval-MIN)),IF(V17="b","---",""))</f>
        <v>---</v>
      </c>
      <c r="H17" s="167" t="str">
        <f aca="true" t="shared" si="5" ref="H17:H65">IF(V17="c",EXP(Psbase+PB*0.5)-EXP(Psbase-PB*0.5),IF(V17="b","---",""))</f>
        <v>---</v>
      </c>
      <c r="I17" s="167" t="str">
        <f aca="true" t="shared" si="6" ref="I17:I65">IF(V17="c",EXP(Psbase+PB*0.5*Sd)-EXP(Psbase-PB*0.5*Sd),IF(V17="b","---",""))</f>
        <v>---</v>
      </c>
      <c r="K17" s="164" t="str">
        <f>IF(RHV="","",RHV)</f>
        <v>MAR</v>
      </c>
      <c r="L17" s="167">
        <f aca="true" t="shared" si="7" ref="L17:L65">IF(NB="","",EXP(NB))</f>
        <v>1.1624030998065098</v>
      </c>
      <c r="M17" s="167">
        <f aca="true" t="shared" si="8" ref="M17:M65">IF(NB="","",EXP(NB*Sd))</f>
        <v>1.0738061910554166</v>
      </c>
      <c r="N17" s="167">
        <f aca="true" t="shared" si="9" ref="N17:N65">IF(NB="","",EXP(Nsbase)*NB)</f>
        <v>0.24108475493540135</v>
      </c>
      <c r="O17" s="167">
        <f aca="true" t="shared" si="10" ref="O17:O65">IF(V17="b",EXP(Nsbase-NB*(Bval-1))-EXP(Nsbase-NB*Bval),IF(V17="c","---",""))</f>
        <v>0.2354899633683354</v>
      </c>
      <c r="P17" s="167" t="str">
        <f aca="true" t="shared" si="11" ref="P17:P65">IF(V17="c",EXP(Nsbase-NB*(Bval-MAX))-EXP(Nsbase-NB*(Bval-MIN)),IF(V17="b","---",""))</f>
        <v>---</v>
      </c>
      <c r="Q17" s="167" t="str">
        <f aca="true" t="shared" si="12" ref="Q17:Q65">IF(V17="c",EXP(Nsbase+NB*0.5)-EXP(Nsbase-NB*0.5),IF(V17="b","---",""))</f>
        <v>---</v>
      </c>
      <c r="R17" s="167" t="str">
        <f aca="true" t="shared" si="13" ref="R17:R65">IF(V17="c",EXP(Nsbase+NB*0.5*Sd)-EXP(Nsbase-NB*0.5*Sd),IF(V17="b","---",""))</f>
        <v>---</v>
      </c>
      <c r="T17" s="166" t="str">
        <f>IF(RHV="","---",RHV)</f>
        <v>MAR</v>
      </c>
      <c r="U17" s="166">
        <f>IF(Bval="","---",Bval)</f>
        <v>0.6622951</v>
      </c>
      <c r="V17" s="168" t="str">
        <f aca="true" t="shared" si="14" ref="V17:V65">IF(Vtype="","",Vtype)</f>
        <v>b</v>
      </c>
    </row>
    <row r="18" spans="2:22" ht="13.5" customHeight="1">
      <c r="B18" s="169" t="str">
        <f aca="true" t="shared" si="15" ref="B18:B65">IF(RHV="","",RHV)</f>
        <v>KID5</v>
      </c>
      <c r="C18" s="167">
        <f t="shared" si="0"/>
        <v>0.8312017781025475</v>
      </c>
      <c r="D18" s="167">
        <f t="shared" si="1"/>
        <v>0.8681306305880518</v>
      </c>
      <c r="E18" s="167">
        <f t="shared" si="2"/>
        <v>-0.29767834591718856</v>
      </c>
      <c r="F18" s="167" t="str">
        <f t="shared" si="3"/>
        <v>---</v>
      </c>
      <c r="G18" s="167">
        <f t="shared" si="4"/>
        <v>-0.7511604418451954</v>
      </c>
      <c r="H18" s="167">
        <f t="shared" si="5"/>
        <v>-0.2981024906821601</v>
      </c>
      <c r="I18" s="167">
        <f t="shared" si="6"/>
        <v>-0.22787797862403836</v>
      </c>
      <c r="K18" s="169" t="str">
        <f aca="true" t="shared" si="16" ref="K18:K65">IF(RHV="","",RHV)</f>
        <v>KID5</v>
      </c>
      <c r="L18" s="167">
        <f t="shared" si="7"/>
        <v>0.8382698614255024</v>
      </c>
      <c r="M18" s="167">
        <f t="shared" si="8"/>
        <v>0.8737714309546</v>
      </c>
      <c r="N18" s="167">
        <f t="shared" si="9"/>
        <v>-0.28261782555513715</v>
      </c>
      <c r="O18" s="167" t="str">
        <f t="shared" si="10"/>
        <v>---</v>
      </c>
      <c r="P18" s="167">
        <f t="shared" si="11"/>
        <v>-0.7184303578232101</v>
      </c>
      <c r="Q18" s="167">
        <f t="shared" si="12"/>
        <v>-0.28298445662259963</v>
      </c>
      <c r="R18" s="167">
        <f t="shared" si="13"/>
        <v>-0.2163327583731398</v>
      </c>
      <c r="T18" s="170" t="str">
        <f aca="true" t="shared" si="17" ref="T18:T65">IF(RHV="","---",RHV)</f>
        <v>KID5</v>
      </c>
      <c r="U18" s="170">
        <f aca="true" t="shared" si="18" ref="U18:U65">IF(Bval="","---",Bval)</f>
        <v>0.495082</v>
      </c>
      <c r="V18" s="168" t="str">
        <f t="shared" si="14"/>
        <v>c</v>
      </c>
    </row>
    <row r="19" spans="2:22" ht="13.5" customHeight="1">
      <c r="B19" s="169" t="str">
        <f t="shared" si="15"/>
        <v>PHD</v>
      </c>
      <c r="C19" s="167">
        <f t="shared" si="0"/>
        <v>1.0129051620446723</v>
      </c>
      <c r="D19" s="167">
        <f t="shared" si="1"/>
        <v>1.012700608788391</v>
      </c>
      <c r="E19" s="167">
        <f t="shared" si="2"/>
        <v>0.020645578836514945</v>
      </c>
      <c r="F19" s="167" t="str">
        <f t="shared" si="3"/>
        <v>---</v>
      </c>
      <c r="G19" s="167">
        <f t="shared" si="4"/>
        <v>0.07937917285642526</v>
      </c>
      <c r="H19" s="167">
        <f t="shared" si="5"/>
        <v>0.020645720275425994</v>
      </c>
      <c r="I19" s="167">
        <f t="shared" si="6"/>
        <v>0.02032052724906719</v>
      </c>
      <c r="K19" s="169" t="str">
        <f t="shared" si="16"/>
        <v>PHD</v>
      </c>
      <c r="L19" s="167">
        <f t="shared" si="7"/>
        <v>1.0153884006127163</v>
      </c>
      <c r="M19" s="167">
        <f t="shared" si="8"/>
        <v>1.0151441933888652</v>
      </c>
      <c r="N19" s="167">
        <f t="shared" si="9"/>
        <v>0.024464520844108734</v>
      </c>
      <c r="O19" s="167" t="str">
        <f t="shared" si="10"/>
        <v>---</v>
      </c>
      <c r="P19" s="167">
        <f t="shared" si="11"/>
        <v>0.09397078391542779</v>
      </c>
      <c r="Q19" s="167">
        <f t="shared" si="12"/>
        <v>0.02446475856813035</v>
      </c>
      <c r="R19" s="167">
        <f t="shared" si="13"/>
        <v>0.024079409289646803</v>
      </c>
      <c r="T19" s="170" t="str">
        <f t="shared" si="17"/>
        <v>PHD</v>
      </c>
      <c r="U19" s="170">
        <f t="shared" si="18"/>
        <v>3.103109</v>
      </c>
      <c r="V19" s="168" t="str">
        <f t="shared" si="14"/>
        <v>c</v>
      </c>
    </row>
    <row r="20" spans="2:22" ht="13.5" customHeight="1">
      <c r="B20" s="169" t="str">
        <f t="shared" si="15"/>
        <v>MENT</v>
      </c>
      <c r="C20" s="167">
        <f t="shared" si="0"/>
        <v>1.0258717100572465</v>
      </c>
      <c r="D20" s="167">
        <f t="shared" si="1"/>
        <v>1.2741060502888266</v>
      </c>
      <c r="E20" s="167">
        <f t="shared" si="2"/>
        <v>0.041126123137854284</v>
      </c>
      <c r="F20" s="167" t="str">
        <f t="shared" si="3"/>
        <v>---</v>
      </c>
      <c r="G20" s="167">
        <f t="shared" si="4"/>
        <v>7.912374731199085</v>
      </c>
      <c r="H20" s="167">
        <f t="shared" si="5"/>
        <v>0.04112724114267663</v>
      </c>
      <c r="I20" s="167">
        <f t="shared" si="6"/>
        <v>0.39099103683841485</v>
      </c>
      <c r="K20" s="169" t="str">
        <f t="shared" si="16"/>
        <v>MENT</v>
      </c>
      <c r="L20" s="167">
        <f t="shared" si="7"/>
        <v>1.0295093196056475</v>
      </c>
      <c r="M20" s="167">
        <f t="shared" si="8"/>
        <v>1.3176028477625343</v>
      </c>
      <c r="N20" s="167">
        <f t="shared" si="9"/>
        <v>0.04658995590029751</v>
      </c>
      <c r="O20" s="167" t="str">
        <f t="shared" si="10"/>
        <v>---</v>
      </c>
      <c r="P20" s="167">
        <f t="shared" si="11"/>
        <v>10.412213421428834</v>
      </c>
      <c r="Q20" s="167">
        <f t="shared" si="12"/>
        <v>0.04659159778686317</v>
      </c>
      <c r="R20" s="167">
        <f t="shared" si="13"/>
        <v>0.44325707338021636</v>
      </c>
      <c r="T20" s="170" t="str">
        <f t="shared" si="17"/>
        <v>MENT</v>
      </c>
      <c r="U20" s="170">
        <f t="shared" si="18"/>
        <v>8.767212</v>
      </c>
      <c r="V20" s="168" t="str">
        <f t="shared" si="14"/>
        <v>c</v>
      </c>
    </row>
    <row r="21" spans="2:22" ht="13.5" customHeight="1">
      <c r="B21" s="169">
        <f t="shared" si="15"/>
      </c>
      <c r="C21" s="167">
        <f t="shared" si="0"/>
      </c>
      <c r="D21" s="167">
        <f t="shared" si="1"/>
      </c>
      <c r="E21" s="167">
        <f t="shared" si="2"/>
      </c>
      <c r="F21" s="167">
        <f t="shared" si="3"/>
      </c>
      <c r="G21" s="167">
        <f t="shared" si="4"/>
      </c>
      <c r="H21" s="167">
        <f t="shared" si="5"/>
      </c>
      <c r="I21" s="167">
        <f t="shared" si="6"/>
      </c>
      <c r="K21" s="169">
        <f t="shared" si="16"/>
      </c>
      <c r="L21" s="167">
        <f t="shared" si="7"/>
      </c>
      <c r="M21" s="167">
        <f t="shared" si="8"/>
      </c>
      <c r="N21" s="167">
        <f t="shared" si="9"/>
      </c>
      <c r="O21" s="167">
        <f t="shared" si="10"/>
      </c>
      <c r="P21" s="167">
        <f t="shared" si="11"/>
      </c>
      <c r="Q21" s="167">
        <f t="shared" si="12"/>
      </c>
      <c r="R21" s="167">
        <f t="shared" si="13"/>
      </c>
      <c r="T21" s="170" t="str">
        <f t="shared" si="17"/>
        <v>---</v>
      </c>
      <c r="U21" s="170" t="str">
        <f t="shared" si="18"/>
        <v>---</v>
      </c>
      <c r="V21" s="168">
        <f t="shared" si="14"/>
      </c>
    </row>
    <row r="22" spans="2:22" ht="13.5" customHeight="1">
      <c r="B22" s="169">
        <f t="shared" si="15"/>
      </c>
      <c r="C22" s="167">
        <f t="shared" si="0"/>
      </c>
      <c r="D22" s="167">
        <f t="shared" si="1"/>
      </c>
      <c r="E22" s="167">
        <f t="shared" si="2"/>
      </c>
      <c r="F22" s="167">
        <f t="shared" si="3"/>
      </c>
      <c r="G22" s="167">
        <f t="shared" si="4"/>
      </c>
      <c r="H22" s="167">
        <f t="shared" si="5"/>
      </c>
      <c r="I22" s="167">
        <f t="shared" si="6"/>
      </c>
      <c r="K22" s="169">
        <f t="shared" si="16"/>
      </c>
      <c r="L22" s="167">
        <f t="shared" si="7"/>
      </c>
      <c r="M22" s="167">
        <f t="shared" si="8"/>
      </c>
      <c r="N22" s="167">
        <f t="shared" si="9"/>
      </c>
      <c r="O22" s="167">
        <f t="shared" si="10"/>
      </c>
      <c r="P22" s="167">
        <f t="shared" si="11"/>
      </c>
      <c r="Q22" s="167">
        <f t="shared" si="12"/>
      </c>
      <c r="R22" s="167">
        <f t="shared" si="13"/>
      </c>
      <c r="T22" s="170" t="str">
        <f t="shared" si="17"/>
        <v>---</v>
      </c>
      <c r="U22" s="170" t="str">
        <f t="shared" si="18"/>
        <v>---</v>
      </c>
      <c r="V22" s="168">
        <f t="shared" si="14"/>
      </c>
    </row>
    <row r="23" spans="2:22" ht="13.5" customHeight="1">
      <c r="B23" s="169">
        <f t="shared" si="15"/>
      </c>
      <c r="C23" s="167">
        <f t="shared" si="0"/>
      </c>
      <c r="D23" s="167">
        <f t="shared" si="1"/>
      </c>
      <c r="E23" s="167">
        <f t="shared" si="2"/>
      </c>
      <c r="F23" s="167">
        <f t="shared" si="3"/>
      </c>
      <c r="G23" s="167">
        <f t="shared" si="4"/>
      </c>
      <c r="H23" s="167">
        <f t="shared" si="5"/>
      </c>
      <c r="I23" s="167">
        <f t="shared" si="6"/>
      </c>
      <c r="K23" s="169">
        <f t="shared" si="16"/>
      </c>
      <c r="L23" s="167">
        <f t="shared" si="7"/>
      </c>
      <c r="M23" s="167">
        <f t="shared" si="8"/>
      </c>
      <c r="N23" s="167">
        <f t="shared" si="9"/>
      </c>
      <c r="O23" s="167">
        <f t="shared" si="10"/>
      </c>
      <c r="P23" s="167">
        <f t="shared" si="11"/>
      </c>
      <c r="Q23" s="167">
        <f t="shared" si="12"/>
      </c>
      <c r="R23" s="167">
        <f t="shared" si="13"/>
      </c>
      <c r="T23" s="170" t="str">
        <f t="shared" si="17"/>
        <v>---</v>
      </c>
      <c r="U23" s="170" t="str">
        <f t="shared" si="18"/>
        <v>---</v>
      </c>
      <c r="V23" s="168">
        <f t="shared" si="14"/>
      </c>
    </row>
    <row r="24" spans="2:22" ht="13.5" customHeight="1">
      <c r="B24" s="169">
        <f t="shared" si="15"/>
      </c>
      <c r="C24" s="167">
        <f t="shared" si="0"/>
      </c>
      <c r="D24" s="167">
        <f t="shared" si="1"/>
      </c>
      <c r="E24" s="167">
        <f t="shared" si="2"/>
      </c>
      <c r="F24" s="167">
        <f t="shared" si="3"/>
      </c>
      <c r="G24" s="167">
        <f t="shared" si="4"/>
      </c>
      <c r="H24" s="167">
        <f t="shared" si="5"/>
      </c>
      <c r="I24" s="167">
        <f t="shared" si="6"/>
      </c>
      <c r="K24" s="169">
        <f t="shared" si="16"/>
      </c>
      <c r="L24" s="167">
        <f t="shared" si="7"/>
      </c>
      <c r="M24" s="167">
        <f t="shared" si="8"/>
      </c>
      <c r="N24" s="167">
        <f t="shared" si="9"/>
      </c>
      <c r="O24" s="167">
        <f t="shared" si="10"/>
      </c>
      <c r="P24" s="167">
        <f t="shared" si="11"/>
      </c>
      <c r="Q24" s="167">
        <f t="shared" si="12"/>
      </c>
      <c r="R24" s="167">
        <f t="shared" si="13"/>
      </c>
      <c r="T24" s="170" t="str">
        <f t="shared" si="17"/>
        <v>---</v>
      </c>
      <c r="U24" s="170" t="str">
        <f t="shared" si="18"/>
        <v>---</v>
      </c>
      <c r="V24" s="168">
        <f t="shared" si="14"/>
      </c>
    </row>
    <row r="25" spans="2:22" ht="13.5" customHeight="1">
      <c r="B25" s="169">
        <f t="shared" si="15"/>
      </c>
      <c r="C25" s="167">
        <f t="shared" si="0"/>
      </c>
      <c r="D25" s="167">
        <f t="shared" si="1"/>
      </c>
      <c r="E25" s="167">
        <f t="shared" si="2"/>
      </c>
      <c r="F25" s="167">
        <f t="shared" si="3"/>
      </c>
      <c r="G25" s="167">
        <f t="shared" si="4"/>
      </c>
      <c r="H25" s="167">
        <f t="shared" si="5"/>
      </c>
      <c r="I25" s="167">
        <f t="shared" si="6"/>
      </c>
      <c r="K25" s="169">
        <f t="shared" si="16"/>
      </c>
      <c r="L25" s="167">
        <f t="shared" si="7"/>
      </c>
      <c r="M25" s="167">
        <f t="shared" si="8"/>
      </c>
      <c r="N25" s="167">
        <f t="shared" si="9"/>
      </c>
      <c r="O25" s="167">
        <f t="shared" si="10"/>
      </c>
      <c r="P25" s="167">
        <f t="shared" si="11"/>
      </c>
      <c r="Q25" s="167">
        <f t="shared" si="12"/>
      </c>
      <c r="R25" s="167">
        <f t="shared" si="13"/>
      </c>
      <c r="T25" s="170" t="str">
        <f t="shared" si="17"/>
        <v>---</v>
      </c>
      <c r="U25" s="170" t="str">
        <f t="shared" si="18"/>
        <v>---</v>
      </c>
      <c r="V25" s="168">
        <f t="shared" si="14"/>
      </c>
    </row>
    <row r="26" spans="2:22" ht="13.5" customHeight="1">
      <c r="B26" s="169">
        <f t="shared" si="15"/>
      </c>
      <c r="C26" s="167">
        <f t="shared" si="0"/>
      </c>
      <c r="D26" s="167">
        <f t="shared" si="1"/>
      </c>
      <c r="E26" s="167">
        <f t="shared" si="2"/>
      </c>
      <c r="F26" s="167">
        <f t="shared" si="3"/>
      </c>
      <c r="G26" s="167">
        <f t="shared" si="4"/>
      </c>
      <c r="H26" s="167">
        <f t="shared" si="5"/>
      </c>
      <c r="I26" s="167">
        <f t="shared" si="6"/>
      </c>
      <c r="K26" s="169">
        <f t="shared" si="16"/>
      </c>
      <c r="L26" s="167">
        <f t="shared" si="7"/>
      </c>
      <c r="M26" s="167">
        <f t="shared" si="8"/>
      </c>
      <c r="N26" s="167">
        <f t="shared" si="9"/>
      </c>
      <c r="O26" s="167">
        <f t="shared" si="10"/>
      </c>
      <c r="P26" s="167">
        <f t="shared" si="11"/>
      </c>
      <c r="Q26" s="167">
        <f t="shared" si="12"/>
      </c>
      <c r="R26" s="167">
        <f t="shared" si="13"/>
      </c>
      <c r="T26" s="170" t="str">
        <f t="shared" si="17"/>
        <v>---</v>
      </c>
      <c r="U26" s="170" t="str">
        <f t="shared" si="18"/>
        <v>---</v>
      </c>
      <c r="V26" s="168">
        <f t="shared" si="14"/>
      </c>
    </row>
    <row r="27" spans="2:22" ht="13.5" customHeight="1">
      <c r="B27" s="169">
        <f t="shared" si="15"/>
      </c>
      <c r="C27" s="167">
        <f t="shared" si="0"/>
      </c>
      <c r="D27" s="167">
        <f t="shared" si="1"/>
      </c>
      <c r="E27" s="167">
        <f t="shared" si="2"/>
      </c>
      <c r="F27" s="167">
        <f t="shared" si="3"/>
      </c>
      <c r="G27" s="167">
        <f t="shared" si="4"/>
      </c>
      <c r="H27" s="167">
        <f t="shared" si="5"/>
      </c>
      <c r="I27" s="167">
        <f t="shared" si="6"/>
      </c>
      <c r="K27" s="169">
        <f t="shared" si="16"/>
      </c>
      <c r="L27" s="167">
        <f t="shared" si="7"/>
      </c>
      <c r="M27" s="167">
        <f t="shared" si="8"/>
      </c>
      <c r="N27" s="167">
        <f t="shared" si="9"/>
      </c>
      <c r="O27" s="167">
        <f t="shared" si="10"/>
      </c>
      <c r="P27" s="167">
        <f t="shared" si="11"/>
      </c>
      <c r="Q27" s="167">
        <f t="shared" si="12"/>
      </c>
      <c r="R27" s="167">
        <f t="shared" si="13"/>
      </c>
      <c r="T27" s="170" t="str">
        <f t="shared" si="17"/>
        <v>---</v>
      </c>
      <c r="U27" s="170" t="str">
        <f t="shared" si="18"/>
        <v>---</v>
      </c>
      <c r="V27" s="168">
        <f t="shared" si="14"/>
      </c>
    </row>
    <row r="28" spans="2:22" ht="13.5" customHeight="1">
      <c r="B28" s="169">
        <f t="shared" si="15"/>
      </c>
      <c r="C28" s="167">
        <f t="shared" si="0"/>
      </c>
      <c r="D28" s="167">
        <f t="shared" si="1"/>
      </c>
      <c r="E28" s="167">
        <f t="shared" si="2"/>
      </c>
      <c r="F28" s="167">
        <f t="shared" si="3"/>
      </c>
      <c r="G28" s="167">
        <f t="shared" si="4"/>
      </c>
      <c r="H28" s="167">
        <f t="shared" si="5"/>
      </c>
      <c r="I28" s="167">
        <f t="shared" si="6"/>
      </c>
      <c r="K28" s="169">
        <f t="shared" si="16"/>
      </c>
      <c r="L28" s="167">
        <f t="shared" si="7"/>
      </c>
      <c r="M28" s="167">
        <f t="shared" si="8"/>
      </c>
      <c r="N28" s="167">
        <f t="shared" si="9"/>
      </c>
      <c r="O28" s="167">
        <f t="shared" si="10"/>
      </c>
      <c r="P28" s="167">
        <f t="shared" si="11"/>
      </c>
      <c r="Q28" s="167">
        <f t="shared" si="12"/>
      </c>
      <c r="R28" s="167">
        <f t="shared" si="13"/>
      </c>
      <c r="T28" s="170" t="str">
        <f t="shared" si="17"/>
        <v>---</v>
      </c>
      <c r="U28" s="170" t="str">
        <f t="shared" si="18"/>
        <v>---</v>
      </c>
      <c r="V28" s="168">
        <f t="shared" si="14"/>
      </c>
    </row>
    <row r="29" spans="2:22" ht="13.5" customHeight="1">
      <c r="B29" s="169">
        <f t="shared" si="15"/>
      </c>
      <c r="C29" s="167">
        <f t="shared" si="0"/>
      </c>
      <c r="D29" s="167">
        <f t="shared" si="1"/>
      </c>
      <c r="E29" s="167">
        <f t="shared" si="2"/>
      </c>
      <c r="F29" s="167">
        <f t="shared" si="3"/>
      </c>
      <c r="G29" s="167">
        <f t="shared" si="4"/>
      </c>
      <c r="H29" s="167">
        <f t="shared" si="5"/>
      </c>
      <c r="I29" s="167">
        <f t="shared" si="6"/>
      </c>
      <c r="K29" s="169">
        <f t="shared" si="16"/>
      </c>
      <c r="L29" s="167">
        <f t="shared" si="7"/>
      </c>
      <c r="M29" s="167">
        <f t="shared" si="8"/>
      </c>
      <c r="N29" s="167">
        <f t="shared" si="9"/>
      </c>
      <c r="O29" s="167">
        <f t="shared" si="10"/>
      </c>
      <c r="P29" s="167">
        <f t="shared" si="11"/>
      </c>
      <c r="Q29" s="167">
        <f t="shared" si="12"/>
      </c>
      <c r="R29" s="167">
        <f t="shared" si="13"/>
      </c>
      <c r="T29" s="170" t="str">
        <f t="shared" si="17"/>
        <v>---</v>
      </c>
      <c r="U29" s="170" t="str">
        <f t="shared" si="18"/>
        <v>---</v>
      </c>
      <c r="V29" s="168">
        <f t="shared" si="14"/>
      </c>
    </row>
    <row r="30" spans="2:22" ht="13.5" customHeight="1">
      <c r="B30" s="169">
        <f t="shared" si="15"/>
      </c>
      <c r="C30" s="167">
        <f t="shared" si="0"/>
      </c>
      <c r="D30" s="167">
        <f t="shared" si="1"/>
      </c>
      <c r="E30" s="167">
        <f t="shared" si="2"/>
      </c>
      <c r="F30" s="167">
        <f t="shared" si="3"/>
      </c>
      <c r="G30" s="167">
        <f t="shared" si="4"/>
      </c>
      <c r="H30" s="167">
        <f t="shared" si="5"/>
      </c>
      <c r="I30" s="167">
        <f t="shared" si="6"/>
      </c>
      <c r="K30" s="169">
        <f t="shared" si="16"/>
      </c>
      <c r="L30" s="167">
        <f t="shared" si="7"/>
      </c>
      <c r="M30" s="167">
        <f t="shared" si="8"/>
      </c>
      <c r="N30" s="167">
        <f t="shared" si="9"/>
      </c>
      <c r="O30" s="167">
        <f t="shared" si="10"/>
      </c>
      <c r="P30" s="167">
        <f t="shared" si="11"/>
      </c>
      <c r="Q30" s="167">
        <f t="shared" si="12"/>
      </c>
      <c r="R30" s="167">
        <f t="shared" si="13"/>
      </c>
      <c r="T30" s="170" t="str">
        <f t="shared" si="17"/>
        <v>---</v>
      </c>
      <c r="U30" s="170" t="str">
        <f t="shared" si="18"/>
        <v>---</v>
      </c>
      <c r="V30" s="168">
        <f t="shared" si="14"/>
      </c>
    </row>
    <row r="31" spans="2:22" ht="13.5" customHeight="1">
      <c r="B31" s="169">
        <f t="shared" si="15"/>
      </c>
      <c r="C31" s="167">
        <f t="shared" si="0"/>
      </c>
      <c r="D31" s="167">
        <f t="shared" si="1"/>
      </c>
      <c r="E31" s="167">
        <f t="shared" si="2"/>
      </c>
      <c r="F31" s="167">
        <f t="shared" si="3"/>
      </c>
      <c r="G31" s="167">
        <f t="shared" si="4"/>
      </c>
      <c r="H31" s="167">
        <f t="shared" si="5"/>
      </c>
      <c r="I31" s="167">
        <f t="shared" si="6"/>
      </c>
      <c r="K31" s="169">
        <f t="shared" si="16"/>
      </c>
      <c r="L31" s="167">
        <f t="shared" si="7"/>
      </c>
      <c r="M31" s="167">
        <f t="shared" si="8"/>
      </c>
      <c r="N31" s="167">
        <f t="shared" si="9"/>
      </c>
      <c r="O31" s="167">
        <f t="shared" si="10"/>
      </c>
      <c r="P31" s="167">
        <f t="shared" si="11"/>
      </c>
      <c r="Q31" s="167">
        <f t="shared" si="12"/>
      </c>
      <c r="R31" s="167">
        <f t="shared" si="13"/>
      </c>
      <c r="T31" s="170" t="str">
        <f t="shared" si="17"/>
        <v>---</v>
      </c>
      <c r="U31" s="170" t="str">
        <f t="shared" si="18"/>
        <v>---</v>
      </c>
      <c r="V31" s="168">
        <f t="shared" si="14"/>
      </c>
    </row>
    <row r="32" spans="2:22" ht="13.5" customHeight="1">
      <c r="B32" s="169">
        <f t="shared" si="15"/>
      </c>
      <c r="C32" s="167">
        <f t="shared" si="0"/>
      </c>
      <c r="D32" s="167">
        <f t="shared" si="1"/>
      </c>
      <c r="E32" s="167">
        <f t="shared" si="2"/>
      </c>
      <c r="F32" s="167">
        <f t="shared" si="3"/>
      </c>
      <c r="G32" s="167">
        <f t="shared" si="4"/>
      </c>
      <c r="H32" s="167">
        <f t="shared" si="5"/>
      </c>
      <c r="I32" s="167">
        <f t="shared" si="6"/>
      </c>
      <c r="K32" s="169">
        <f t="shared" si="16"/>
      </c>
      <c r="L32" s="167">
        <f t="shared" si="7"/>
      </c>
      <c r="M32" s="167">
        <f t="shared" si="8"/>
      </c>
      <c r="N32" s="167">
        <f t="shared" si="9"/>
      </c>
      <c r="O32" s="167">
        <f t="shared" si="10"/>
      </c>
      <c r="P32" s="167">
        <f t="shared" si="11"/>
      </c>
      <c r="Q32" s="167">
        <f t="shared" si="12"/>
      </c>
      <c r="R32" s="167">
        <f t="shared" si="13"/>
      </c>
      <c r="T32" s="170" t="str">
        <f t="shared" si="17"/>
        <v>---</v>
      </c>
      <c r="U32" s="170" t="str">
        <f t="shared" si="18"/>
        <v>---</v>
      </c>
      <c r="V32" s="168">
        <f t="shared" si="14"/>
      </c>
    </row>
    <row r="33" spans="2:22" ht="13.5" customHeight="1">
      <c r="B33" s="169">
        <f t="shared" si="15"/>
      </c>
      <c r="C33" s="167">
        <f t="shared" si="0"/>
      </c>
      <c r="D33" s="167">
        <f t="shared" si="1"/>
      </c>
      <c r="E33" s="167">
        <f t="shared" si="2"/>
      </c>
      <c r="F33" s="167">
        <f t="shared" si="3"/>
      </c>
      <c r="G33" s="167">
        <f t="shared" si="4"/>
      </c>
      <c r="H33" s="167">
        <f t="shared" si="5"/>
      </c>
      <c r="I33" s="167">
        <f t="shared" si="6"/>
      </c>
      <c r="K33" s="169">
        <f t="shared" si="16"/>
      </c>
      <c r="L33" s="167">
        <f t="shared" si="7"/>
      </c>
      <c r="M33" s="167">
        <f t="shared" si="8"/>
      </c>
      <c r="N33" s="167">
        <f t="shared" si="9"/>
      </c>
      <c r="O33" s="167">
        <f t="shared" si="10"/>
      </c>
      <c r="P33" s="167">
        <f t="shared" si="11"/>
      </c>
      <c r="Q33" s="167">
        <f t="shared" si="12"/>
      </c>
      <c r="R33" s="167">
        <f t="shared" si="13"/>
      </c>
      <c r="T33" s="170" t="str">
        <f t="shared" si="17"/>
        <v>---</v>
      </c>
      <c r="U33" s="170" t="str">
        <f t="shared" si="18"/>
        <v>---</v>
      </c>
      <c r="V33" s="168">
        <f t="shared" si="14"/>
      </c>
    </row>
    <row r="34" spans="2:22" ht="13.5" customHeight="1">
      <c r="B34" s="169">
        <f t="shared" si="15"/>
      </c>
      <c r="C34" s="167">
        <f t="shared" si="0"/>
      </c>
      <c r="D34" s="167">
        <f t="shared" si="1"/>
      </c>
      <c r="E34" s="167">
        <f t="shared" si="2"/>
      </c>
      <c r="F34" s="167">
        <f t="shared" si="3"/>
      </c>
      <c r="G34" s="167">
        <f t="shared" si="4"/>
      </c>
      <c r="H34" s="167">
        <f t="shared" si="5"/>
      </c>
      <c r="I34" s="167">
        <f t="shared" si="6"/>
      </c>
      <c r="K34" s="169">
        <f t="shared" si="16"/>
      </c>
      <c r="L34" s="167">
        <f t="shared" si="7"/>
      </c>
      <c r="M34" s="167">
        <f t="shared" si="8"/>
      </c>
      <c r="N34" s="167">
        <f t="shared" si="9"/>
      </c>
      <c r="O34" s="167">
        <f t="shared" si="10"/>
      </c>
      <c r="P34" s="167">
        <f t="shared" si="11"/>
      </c>
      <c r="Q34" s="167">
        <f t="shared" si="12"/>
      </c>
      <c r="R34" s="167">
        <f t="shared" si="13"/>
      </c>
      <c r="T34" s="170" t="str">
        <f t="shared" si="17"/>
        <v>---</v>
      </c>
      <c r="U34" s="170" t="str">
        <f t="shared" si="18"/>
        <v>---</v>
      </c>
      <c r="V34" s="168">
        <f t="shared" si="14"/>
      </c>
    </row>
    <row r="35" spans="2:22" ht="13.5" customHeight="1">
      <c r="B35" s="169">
        <f t="shared" si="15"/>
      </c>
      <c r="C35" s="167">
        <f t="shared" si="0"/>
      </c>
      <c r="D35" s="167">
        <f t="shared" si="1"/>
      </c>
      <c r="E35" s="167">
        <f t="shared" si="2"/>
      </c>
      <c r="F35" s="167">
        <f t="shared" si="3"/>
      </c>
      <c r="G35" s="167">
        <f t="shared" si="4"/>
      </c>
      <c r="H35" s="167">
        <f t="shared" si="5"/>
      </c>
      <c r="I35" s="167">
        <f t="shared" si="6"/>
      </c>
      <c r="K35" s="169">
        <f t="shared" si="16"/>
      </c>
      <c r="L35" s="167">
        <f t="shared" si="7"/>
      </c>
      <c r="M35" s="167">
        <f t="shared" si="8"/>
      </c>
      <c r="N35" s="167">
        <f t="shared" si="9"/>
      </c>
      <c r="O35" s="167">
        <f t="shared" si="10"/>
      </c>
      <c r="P35" s="167">
        <f t="shared" si="11"/>
      </c>
      <c r="Q35" s="167">
        <f t="shared" si="12"/>
      </c>
      <c r="R35" s="167">
        <f t="shared" si="13"/>
      </c>
      <c r="T35" s="170" t="str">
        <f t="shared" si="17"/>
        <v>---</v>
      </c>
      <c r="U35" s="170" t="str">
        <f t="shared" si="18"/>
        <v>---</v>
      </c>
      <c r="V35" s="168">
        <f t="shared" si="14"/>
      </c>
    </row>
    <row r="36" spans="2:22" ht="13.5" customHeight="1">
      <c r="B36" s="169">
        <f t="shared" si="15"/>
      </c>
      <c r="C36" s="167">
        <f t="shared" si="0"/>
      </c>
      <c r="D36" s="167">
        <f t="shared" si="1"/>
      </c>
      <c r="E36" s="167">
        <f t="shared" si="2"/>
      </c>
      <c r="F36" s="167">
        <f t="shared" si="3"/>
      </c>
      <c r="G36" s="167">
        <f t="shared" si="4"/>
      </c>
      <c r="H36" s="167">
        <f t="shared" si="5"/>
      </c>
      <c r="I36" s="167">
        <f t="shared" si="6"/>
      </c>
      <c r="K36" s="169">
        <f t="shared" si="16"/>
      </c>
      <c r="L36" s="167">
        <f t="shared" si="7"/>
      </c>
      <c r="M36" s="167">
        <f t="shared" si="8"/>
      </c>
      <c r="N36" s="167">
        <f t="shared" si="9"/>
      </c>
      <c r="O36" s="167">
        <f t="shared" si="10"/>
      </c>
      <c r="P36" s="167">
        <f t="shared" si="11"/>
      </c>
      <c r="Q36" s="167">
        <f t="shared" si="12"/>
      </c>
      <c r="R36" s="167">
        <f t="shared" si="13"/>
      </c>
      <c r="T36" s="170" t="str">
        <f t="shared" si="17"/>
        <v>---</v>
      </c>
      <c r="U36" s="170" t="str">
        <f t="shared" si="18"/>
        <v>---</v>
      </c>
      <c r="V36" s="168">
        <f t="shared" si="14"/>
      </c>
    </row>
    <row r="37" spans="2:22" ht="13.5" customHeight="1">
      <c r="B37" s="169">
        <f t="shared" si="15"/>
      </c>
      <c r="C37" s="167">
        <f t="shared" si="0"/>
      </c>
      <c r="D37" s="167">
        <f t="shared" si="1"/>
      </c>
      <c r="E37" s="167">
        <f t="shared" si="2"/>
      </c>
      <c r="F37" s="167">
        <f t="shared" si="3"/>
      </c>
      <c r="G37" s="167">
        <f t="shared" si="4"/>
      </c>
      <c r="H37" s="167">
        <f t="shared" si="5"/>
      </c>
      <c r="I37" s="167">
        <f t="shared" si="6"/>
      </c>
      <c r="K37" s="169">
        <f t="shared" si="16"/>
      </c>
      <c r="L37" s="167">
        <f t="shared" si="7"/>
      </c>
      <c r="M37" s="167">
        <f t="shared" si="8"/>
      </c>
      <c r="N37" s="167">
        <f t="shared" si="9"/>
      </c>
      <c r="O37" s="167">
        <f t="shared" si="10"/>
      </c>
      <c r="P37" s="167">
        <f t="shared" si="11"/>
      </c>
      <c r="Q37" s="167">
        <f t="shared" si="12"/>
      </c>
      <c r="R37" s="167">
        <f t="shared" si="13"/>
      </c>
      <c r="T37" s="170" t="str">
        <f t="shared" si="17"/>
        <v>---</v>
      </c>
      <c r="U37" s="170" t="str">
        <f t="shared" si="18"/>
        <v>---</v>
      </c>
      <c r="V37" s="168">
        <f t="shared" si="14"/>
      </c>
    </row>
    <row r="38" spans="2:22" ht="13.5" customHeight="1">
      <c r="B38" s="169">
        <f t="shared" si="15"/>
      </c>
      <c r="C38" s="167">
        <f t="shared" si="0"/>
      </c>
      <c r="D38" s="167">
        <f t="shared" si="1"/>
      </c>
      <c r="E38" s="167">
        <f t="shared" si="2"/>
      </c>
      <c r="F38" s="167">
        <f t="shared" si="3"/>
      </c>
      <c r="G38" s="167">
        <f t="shared" si="4"/>
      </c>
      <c r="H38" s="167">
        <f t="shared" si="5"/>
      </c>
      <c r="I38" s="167">
        <f t="shared" si="6"/>
      </c>
      <c r="K38" s="169">
        <f t="shared" si="16"/>
      </c>
      <c r="L38" s="167">
        <f t="shared" si="7"/>
      </c>
      <c r="M38" s="167">
        <f t="shared" si="8"/>
      </c>
      <c r="N38" s="167">
        <f t="shared" si="9"/>
      </c>
      <c r="O38" s="167">
        <f t="shared" si="10"/>
      </c>
      <c r="P38" s="167">
        <f t="shared" si="11"/>
      </c>
      <c r="Q38" s="167">
        <f t="shared" si="12"/>
      </c>
      <c r="R38" s="167">
        <f t="shared" si="13"/>
      </c>
      <c r="T38" s="170" t="str">
        <f t="shared" si="17"/>
        <v>---</v>
      </c>
      <c r="U38" s="170" t="str">
        <f t="shared" si="18"/>
        <v>---</v>
      </c>
      <c r="V38" s="168">
        <f t="shared" si="14"/>
      </c>
    </row>
    <row r="39" spans="2:22" ht="13.5" customHeight="1">
      <c r="B39" s="169">
        <f t="shared" si="15"/>
      </c>
      <c r="C39" s="167">
        <f t="shared" si="0"/>
      </c>
      <c r="D39" s="167">
        <f t="shared" si="1"/>
      </c>
      <c r="E39" s="167">
        <f t="shared" si="2"/>
      </c>
      <c r="F39" s="167">
        <f t="shared" si="3"/>
      </c>
      <c r="G39" s="167">
        <f t="shared" si="4"/>
      </c>
      <c r="H39" s="167">
        <f t="shared" si="5"/>
      </c>
      <c r="I39" s="167">
        <f t="shared" si="6"/>
      </c>
      <c r="K39" s="169">
        <f t="shared" si="16"/>
      </c>
      <c r="L39" s="167">
        <f t="shared" si="7"/>
      </c>
      <c r="M39" s="167">
        <f t="shared" si="8"/>
      </c>
      <c r="N39" s="167">
        <f t="shared" si="9"/>
      </c>
      <c r="O39" s="167">
        <f t="shared" si="10"/>
      </c>
      <c r="P39" s="167">
        <f t="shared" si="11"/>
      </c>
      <c r="Q39" s="167">
        <f t="shared" si="12"/>
      </c>
      <c r="R39" s="167">
        <f t="shared" si="13"/>
      </c>
      <c r="T39" s="170" t="str">
        <f t="shared" si="17"/>
        <v>---</v>
      </c>
      <c r="U39" s="170" t="str">
        <f t="shared" si="18"/>
        <v>---</v>
      </c>
      <c r="V39" s="168">
        <f t="shared" si="14"/>
      </c>
    </row>
    <row r="40" spans="2:22" ht="13.5" customHeight="1">
      <c r="B40" s="169">
        <f t="shared" si="15"/>
      </c>
      <c r="C40" s="167">
        <f t="shared" si="0"/>
      </c>
      <c r="D40" s="167">
        <f t="shared" si="1"/>
      </c>
      <c r="E40" s="167">
        <f t="shared" si="2"/>
      </c>
      <c r="F40" s="167">
        <f t="shared" si="3"/>
      </c>
      <c r="G40" s="167">
        <f t="shared" si="4"/>
      </c>
      <c r="H40" s="167">
        <f t="shared" si="5"/>
      </c>
      <c r="I40" s="167">
        <f t="shared" si="6"/>
      </c>
      <c r="K40" s="169">
        <f t="shared" si="16"/>
      </c>
      <c r="L40" s="167">
        <f t="shared" si="7"/>
      </c>
      <c r="M40" s="167">
        <f t="shared" si="8"/>
      </c>
      <c r="N40" s="167">
        <f t="shared" si="9"/>
      </c>
      <c r="O40" s="167">
        <f t="shared" si="10"/>
      </c>
      <c r="P40" s="167">
        <f t="shared" si="11"/>
      </c>
      <c r="Q40" s="167">
        <f t="shared" si="12"/>
      </c>
      <c r="R40" s="167">
        <f t="shared" si="13"/>
      </c>
      <c r="T40" s="170" t="str">
        <f t="shared" si="17"/>
        <v>---</v>
      </c>
      <c r="U40" s="170" t="str">
        <f t="shared" si="18"/>
        <v>---</v>
      </c>
      <c r="V40" s="168">
        <f t="shared" si="14"/>
      </c>
    </row>
    <row r="41" spans="2:22" ht="13.5" customHeight="1">
      <c r="B41" s="169">
        <f t="shared" si="15"/>
      </c>
      <c r="C41" s="167">
        <f t="shared" si="0"/>
      </c>
      <c r="D41" s="167">
        <f t="shared" si="1"/>
      </c>
      <c r="E41" s="167">
        <f t="shared" si="2"/>
      </c>
      <c r="F41" s="167">
        <f t="shared" si="3"/>
      </c>
      <c r="G41" s="167">
        <f t="shared" si="4"/>
      </c>
      <c r="H41" s="167">
        <f t="shared" si="5"/>
      </c>
      <c r="I41" s="167">
        <f t="shared" si="6"/>
      </c>
      <c r="K41" s="169">
        <f t="shared" si="16"/>
      </c>
      <c r="L41" s="167">
        <f t="shared" si="7"/>
      </c>
      <c r="M41" s="167">
        <f t="shared" si="8"/>
      </c>
      <c r="N41" s="167">
        <f t="shared" si="9"/>
      </c>
      <c r="O41" s="167">
        <f t="shared" si="10"/>
      </c>
      <c r="P41" s="167">
        <f t="shared" si="11"/>
      </c>
      <c r="Q41" s="167">
        <f t="shared" si="12"/>
      </c>
      <c r="R41" s="167">
        <f t="shared" si="13"/>
      </c>
      <c r="T41" s="170" t="str">
        <f t="shared" si="17"/>
        <v>---</v>
      </c>
      <c r="U41" s="170" t="str">
        <f t="shared" si="18"/>
        <v>---</v>
      </c>
      <c r="V41" s="168">
        <f t="shared" si="14"/>
      </c>
    </row>
    <row r="42" spans="2:22" ht="13.5" customHeight="1">
      <c r="B42" s="169">
        <f t="shared" si="15"/>
      </c>
      <c r="C42" s="167">
        <f t="shared" si="0"/>
      </c>
      <c r="D42" s="167">
        <f t="shared" si="1"/>
      </c>
      <c r="E42" s="167">
        <f t="shared" si="2"/>
      </c>
      <c r="F42" s="167">
        <f t="shared" si="3"/>
      </c>
      <c r="G42" s="167">
        <f t="shared" si="4"/>
      </c>
      <c r="H42" s="167">
        <f t="shared" si="5"/>
      </c>
      <c r="I42" s="167">
        <f t="shared" si="6"/>
      </c>
      <c r="K42" s="169">
        <f t="shared" si="16"/>
      </c>
      <c r="L42" s="167">
        <f t="shared" si="7"/>
      </c>
      <c r="M42" s="167">
        <f t="shared" si="8"/>
      </c>
      <c r="N42" s="167">
        <f t="shared" si="9"/>
      </c>
      <c r="O42" s="167">
        <f t="shared" si="10"/>
      </c>
      <c r="P42" s="167">
        <f t="shared" si="11"/>
      </c>
      <c r="Q42" s="167">
        <f t="shared" si="12"/>
      </c>
      <c r="R42" s="167">
        <f t="shared" si="13"/>
      </c>
      <c r="T42" s="170" t="str">
        <f t="shared" si="17"/>
        <v>---</v>
      </c>
      <c r="U42" s="170" t="str">
        <f t="shared" si="18"/>
        <v>---</v>
      </c>
      <c r="V42" s="168">
        <f t="shared" si="14"/>
      </c>
    </row>
    <row r="43" spans="2:22" ht="13.5" customHeight="1">
      <c r="B43" s="169">
        <f t="shared" si="15"/>
      </c>
      <c r="C43" s="167">
        <f t="shared" si="0"/>
      </c>
      <c r="D43" s="167">
        <f t="shared" si="1"/>
      </c>
      <c r="E43" s="167">
        <f t="shared" si="2"/>
      </c>
      <c r="F43" s="167">
        <f t="shared" si="3"/>
      </c>
      <c r="G43" s="167">
        <f t="shared" si="4"/>
      </c>
      <c r="H43" s="167">
        <f t="shared" si="5"/>
      </c>
      <c r="I43" s="167">
        <f t="shared" si="6"/>
      </c>
      <c r="K43" s="169">
        <f t="shared" si="16"/>
      </c>
      <c r="L43" s="167">
        <f t="shared" si="7"/>
      </c>
      <c r="M43" s="167">
        <f t="shared" si="8"/>
      </c>
      <c r="N43" s="167">
        <f t="shared" si="9"/>
      </c>
      <c r="O43" s="167">
        <f t="shared" si="10"/>
      </c>
      <c r="P43" s="167">
        <f t="shared" si="11"/>
      </c>
      <c r="Q43" s="167">
        <f t="shared" si="12"/>
      </c>
      <c r="R43" s="167">
        <f t="shared" si="13"/>
      </c>
      <c r="T43" s="170" t="str">
        <f t="shared" si="17"/>
        <v>---</v>
      </c>
      <c r="U43" s="170" t="str">
        <f t="shared" si="18"/>
        <v>---</v>
      </c>
      <c r="V43" s="168">
        <f t="shared" si="14"/>
      </c>
    </row>
    <row r="44" spans="2:22" ht="13.5" customHeight="1">
      <c r="B44" s="169">
        <f t="shared" si="15"/>
      </c>
      <c r="C44" s="167">
        <f t="shared" si="0"/>
      </c>
      <c r="D44" s="167">
        <f t="shared" si="1"/>
      </c>
      <c r="E44" s="167">
        <f t="shared" si="2"/>
      </c>
      <c r="F44" s="167">
        <f t="shared" si="3"/>
      </c>
      <c r="G44" s="167">
        <f t="shared" si="4"/>
      </c>
      <c r="H44" s="167">
        <f t="shared" si="5"/>
      </c>
      <c r="I44" s="167">
        <f t="shared" si="6"/>
      </c>
      <c r="K44" s="169">
        <f t="shared" si="16"/>
      </c>
      <c r="L44" s="167">
        <f t="shared" si="7"/>
      </c>
      <c r="M44" s="167">
        <f t="shared" si="8"/>
      </c>
      <c r="N44" s="167">
        <f t="shared" si="9"/>
      </c>
      <c r="O44" s="167">
        <f t="shared" si="10"/>
      </c>
      <c r="P44" s="167">
        <f t="shared" si="11"/>
      </c>
      <c r="Q44" s="167">
        <f t="shared" si="12"/>
      </c>
      <c r="R44" s="167">
        <f t="shared" si="13"/>
      </c>
      <c r="T44" s="170" t="str">
        <f t="shared" si="17"/>
        <v>---</v>
      </c>
      <c r="U44" s="170" t="str">
        <f t="shared" si="18"/>
        <v>---</v>
      </c>
      <c r="V44" s="168">
        <f t="shared" si="14"/>
      </c>
    </row>
    <row r="45" spans="2:22" ht="13.5" customHeight="1">
      <c r="B45" s="169">
        <f t="shared" si="15"/>
      </c>
      <c r="C45" s="167">
        <f t="shared" si="0"/>
      </c>
      <c r="D45" s="167">
        <f t="shared" si="1"/>
      </c>
      <c r="E45" s="167">
        <f t="shared" si="2"/>
      </c>
      <c r="F45" s="167">
        <f t="shared" si="3"/>
      </c>
      <c r="G45" s="167">
        <f t="shared" si="4"/>
      </c>
      <c r="H45" s="167">
        <f t="shared" si="5"/>
      </c>
      <c r="I45" s="167">
        <f t="shared" si="6"/>
      </c>
      <c r="K45" s="169">
        <f t="shared" si="16"/>
      </c>
      <c r="L45" s="167">
        <f t="shared" si="7"/>
      </c>
      <c r="M45" s="167">
        <f t="shared" si="8"/>
      </c>
      <c r="N45" s="167">
        <f t="shared" si="9"/>
      </c>
      <c r="O45" s="167">
        <f t="shared" si="10"/>
      </c>
      <c r="P45" s="167">
        <f t="shared" si="11"/>
      </c>
      <c r="Q45" s="167">
        <f t="shared" si="12"/>
      </c>
      <c r="R45" s="167">
        <f t="shared" si="13"/>
      </c>
      <c r="T45" s="170" t="str">
        <f t="shared" si="17"/>
        <v>---</v>
      </c>
      <c r="U45" s="170" t="str">
        <f t="shared" si="18"/>
        <v>---</v>
      </c>
      <c r="V45" s="168">
        <f t="shared" si="14"/>
      </c>
    </row>
    <row r="46" spans="2:22" ht="13.5" customHeight="1">
      <c r="B46" s="169">
        <f t="shared" si="15"/>
      </c>
      <c r="C46" s="167">
        <f t="shared" si="0"/>
      </c>
      <c r="D46" s="167">
        <f t="shared" si="1"/>
      </c>
      <c r="E46" s="167">
        <f t="shared" si="2"/>
      </c>
      <c r="F46" s="167">
        <f t="shared" si="3"/>
      </c>
      <c r="G46" s="167">
        <f t="shared" si="4"/>
      </c>
      <c r="H46" s="167">
        <f t="shared" si="5"/>
      </c>
      <c r="I46" s="167">
        <f t="shared" si="6"/>
      </c>
      <c r="K46" s="169">
        <f t="shared" si="16"/>
      </c>
      <c r="L46" s="167">
        <f t="shared" si="7"/>
      </c>
      <c r="M46" s="167">
        <f t="shared" si="8"/>
      </c>
      <c r="N46" s="167">
        <f t="shared" si="9"/>
      </c>
      <c r="O46" s="167">
        <f t="shared" si="10"/>
      </c>
      <c r="P46" s="167">
        <f t="shared" si="11"/>
      </c>
      <c r="Q46" s="167">
        <f t="shared" si="12"/>
      </c>
      <c r="R46" s="167">
        <f t="shared" si="13"/>
      </c>
      <c r="T46" s="170" t="str">
        <f t="shared" si="17"/>
        <v>---</v>
      </c>
      <c r="U46" s="170" t="str">
        <f t="shared" si="18"/>
        <v>---</v>
      </c>
      <c r="V46" s="168">
        <f t="shared" si="14"/>
      </c>
    </row>
    <row r="47" spans="2:22" ht="13.5" customHeight="1">
      <c r="B47" s="169">
        <f t="shared" si="15"/>
      </c>
      <c r="C47" s="167">
        <f t="shared" si="0"/>
      </c>
      <c r="D47" s="167">
        <f t="shared" si="1"/>
      </c>
      <c r="E47" s="167">
        <f t="shared" si="2"/>
      </c>
      <c r="F47" s="167">
        <f t="shared" si="3"/>
      </c>
      <c r="G47" s="167">
        <f t="shared" si="4"/>
      </c>
      <c r="H47" s="167">
        <f t="shared" si="5"/>
      </c>
      <c r="I47" s="167">
        <f t="shared" si="6"/>
      </c>
      <c r="K47" s="169">
        <f t="shared" si="16"/>
      </c>
      <c r="L47" s="167">
        <f t="shared" si="7"/>
      </c>
      <c r="M47" s="167">
        <f t="shared" si="8"/>
      </c>
      <c r="N47" s="167">
        <f t="shared" si="9"/>
      </c>
      <c r="O47" s="167">
        <f t="shared" si="10"/>
      </c>
      <c r="P47" s="167">
        <f t="shared" si="11"/>
      </c>
      <c r="Q47" s="167">
        <f t="shared" si="12"/>
      </c>
      <c r="R47" s="167">
        <f t="shared" si="13"/>
      </c>
      <c r="T47" s="170" t="str">
        <f t="shared" si="17"/>
        <v>---</v>
      </c>
      <c r="U47" s="170" t="str">
        <f t="shared" si="18"/>
        <v>---</v>
      </c>
      <c r="V47" s="168">
        <f t="shared" si="14"/>
      </c>
    </row>
    <row r="48" spans="2:22" ht="13.5" customHeight="1">
      <c r="B48" s="169">
        <f t="shared" si="15"/>
      </c>
      <c r="C48" s="167">
        <f t="shared" si="0"/>
      </c>
      <c r="D48" s="167">
        <f t="shared" si="1"/>
      </c>
      <c r="E48" s="167">
        <f t="shared" si="2"/>
      </c>
      <c r="F48" s="167">
        <f t="shared" si="3"/>
      </c>
      <c r="G48" s="167">
        <f t="shared" si="4"/>
      </c>
      <c r="H48" s="167">
        <f t="shared" si="5"/>
      </c>
      <c r="I48" s="167">
        <f t="shared" si="6"/>
      </c>
      <c r="K48" s="169">
        <f t="shared" si="16"/>
      </c>
      <c r="L48" s="167">
        <f t="shared" si="7"/>
      </c>
      <c r="M48" s="167">
        <f t="shared" si="8"/>
      </c>
      <c r="N48" s="167">
        <f t="shared" si="9"/>
      </c>
      <c r="O48" s="167">
        <f t="shared" si="10"/>
      </c>
      <c r="P48" s="167">
        <f t="shared" si="11"/>
      </c>
      <c r="Q48" s="167">
        <f t="shared" si="12"/>
      </c>
      <c r="R48" s="167">
        <f t="shared" si="13"/>
      </c>
      <c r="T48" s="170" t="str">
        <f t="shared" si="17"/>
        <v>---</v>
      </c>
      <c r="U48" s="170" t="str">
        <f t="shared" si="18"/>
        <v>---</v>
      </c>
      <c r="V48" s="168">
        <f t="shared" si="14"/>
      </c>
    </row>
    <row r="49" spans="2:22" ht="13.5" customHeight="1">
      <c r="B49" s="169">
        <f t="shared" si="15"/>
      </c>
      <c r="C49" s="167">
        <f t="shared" si="0"/>
      </c>
      <c r="D49" s="167">
        <f t="shared" si="1"/>
      </c>
      <c r="E49" s="167">
        <f t="shared" si="2"/>
      </c>
      <c r="F49" s="167">
        <f t="shared" si="3"/>
      </c>
      <c r="G49" s="167">
        <f t="shared" si="4"/>
      </c>
      <c r="H49" s="167">
        <f t="shared" si="5"/>
      </c>
      <c r="I49" s="167">
        <f t="shared" si="6"/>
      </c>
      <c r="K49" s="169">
        <f t="shared" si="16"/>
      </c>
      <c r="L49" s="167">
        <f t="shared" si="7"/>
      </c>
      <c r="M49" s="167">
        <f t="shared" si="8"/>
      </c>
      <c r="N49" s="167">
        <f t="shared" si="9"/>
      </c>
      <c r="O49" s="167">
        <f t="shared" si="10"/>
      </c>
      <c r="P49" s="167">
        <f t="shared" si="11"/>
      </c>
      <c r="Q49" s="167">
        <f t="shared" si="12"/>
      </c>
      <c r="R49" s="167">
        <f t="shared" si="13"/>
      </c>
      <c r="T49" s="170" t="str">
        <f t="shared" si="17"/>
        <v>---</v>
      </c>
      <c r="U49" s="170" t="str">
        <f t="shared" si="18"/>
        <v>---</v>
      </c>
      <c r="V49" s="168">
        <f t="shared" si="14"/>
      </c>
    </row>
    <row r="50" spans="2:22" ht="13.5" customHeight="1">
      <c r="B50" s="169">
        <f t="shared" si="15"/>
      </c>
      <c r="C50" s="167">
        <f t="shared" si="0"/>
      </c>
      <c r="D50" s="167">
        <f t="shared" si="1"/>
      </c>
      <c r="E50" s="167">
        <f t="shared" si="2"/>
      </c>
      <c r="F50" s="167">
        <f t="shared" si="3"/>
      </c>
      <c r="G50" s="167">
        <f t="shared" si="4"/>
      </c>
      <c r="H50" s="167">
        <f t="shared" si="5"/>
      </c>
      <c r="I50" s="167">
        <f t="shared" si="6"/>
      </c>
      <c r="K50" s="169">
        <f t="shared" si="16"/>
      </c>
      <c r="L50" s="167">
        <f t="shared" si="7"/>
      </c>
      <c r="M50" s="167">
        <f t="shared" si="8"/>
      </c>
      <c r="N50" s="167">
        <f t="shared" si="9"/>
      </c>
      <c r="O50" s="167">
        <f t="shared" si="10"/>
      </c>
      <c r="P50" s="167">
        <f t="shared" si="11"/>
      </c>
      <c r="Q50" s="167">
        <f t="shared" si="12"/>
      </c>
      <c r="R50" s="167">
        <f t="shared" si="13"/>
      </c>
      <c r="T50" s="170" t="str">
        <f t="shared" si="17"/>
        <v>---</v>
      </c>
      <c r="U50" s="170" t="str">
        <f t="shared" si="18"/>
        <v>---</v>
      </c>
      <c r="V50" s="168">
        <f t="shared" si="14"/>
      </c>
    </row>
    <row r="51" spans="2:22" ht="13.5" customHeight="1">
      <c r="B51" s="169">
        <f t="shared" si="15"/>
      </c>
      <c r="C51" s="167">
        <f t="shared" si="0"/>
      </c>
      <c r="D51" s="167">
        <f t="shared" si="1"/>
      </c>
      <c r="E51" s="167">
        <f t="shared" si="2"/>
      </c>
      <c r="F51" s="167">
        <f t="shared" si="3"/>
      </c>
      <c r="G51" s="167">
        <f t="shared" si="4"/>
      </c>
      <c r="H51" s="167">
        <f t="shared" si="5"/>
      </c>
      <c r="I51" s="167">
        <f t="shared" si="6"/>
      </c>
      <c r="K51" s="169">
        <f t="shared" si="16"/>
      </c>
      <c r="L51" s="167">
        <f t="shared" si="7"/>
      </c>
      <c r="M51" s="167">
        <f t="shared" si="8"/>
      </c>
      <c r="N51" s="167">
        <f t="shared" si="9"/>
      </c>
      <c r="O51" s="167">
        <f t="shared" si="10"/>
      </c>
      <c r="P51" s="167">
        <f t="shared" si="11"/>
      </c>
      <c r="Q51" s="167">
        <f t="shared" si="12"/>
      </c>
      <c r="R51" s="167">
        <f t="shared" si="13"/>
      </c>
      <c r="T51" s="170" t="str">
        <f t="shared" si="17"/>
        <v>---</v>
      </c>
      <c r="U51" s="170" t="str">
        <f t="shared" si="18"/>
        <v>---</v>
      </c>
      <c r="V51" s="168">
        <f t="shared" si="14"/>
      </c>
    </row>
    <row r="52" spans="2:22" ht="13.5" customHeight="1">
      <c r="B52" s="169">
        <f t="shared" si="15"/>
      </c>
      <c r="C52" s="167">
        <f t="shared" si="0"/>
      </c>
      <c r="D52" s="167">
        <f t="shared" si="1"/>
      </c>
      <c r="E52" s="167">
        <f t="shared" si="2"/>
      </c>
      <c r="F52" s="167">
        <f t="shared" si="3"/>
      </c>
      <c r="G52" s="167">
        <f t="shared" si="4"/>
      </c>
      <c r="H52" s="167">
        <f t="shared" si="5"/>
      </c>
      <c r="I52" s="167">
        <f t="shared" si="6"/>
      </c>
      <c r="K52" s="169">
        <f t="shared" si="16"/>
      </c>
      <c r="L52" s="167">
        <f t="shared" si="7"/>
      </c>
      <c r="M52" s="167">
        <f t="shared" si="8"/>
      </c>
      <c r="N52" s="167">
        <f t="shared" si="9"/>
      </c>
      <c r="O52" s="167">
        <f t="shared" si="10"/>
      </c>
      <c r="P52" s="167">
        <f t="shared" si="11"/>
      </c>
      <c r="Q52" s="167">
        <f t="shared" si="12"/>
      </c>
      <c r="R52" s="167">
        <f t="shared" si="13"/>
      </c>
      <c r="T52" s="170" t="str">
        <f t="shared" si="17"/>
        <v>---</v>
      </c>
      <c r="U52" s="170" t="str">
        <f t="shared" si="18"/>
        <v>---</v>
      </c>
      <c r="V52" s="168">
        <f t="shared" si="14"/>
      </c>
    </row>
    <row r="53" spans="2:22" ht="13.5" customHeight="1">
      <c r="B53" s="169">
        <f t="shared" si="15"/>
      </c>
      <c r="C53" s="167">
        <f t="shared" si="0"/>
      </c>
      <c r="D53" s="167">
        <f t="shared" si="1"/>
      </c>
      <c r="E53" s="167">
        <f t="shared" si="2"/>
      </c>
      <c r="F53" s="167">
        <f t="shared" si="3"/>
      </c>
      <c r="G53" s="167">
        <f t="shared" si="4"/>
      </c>
      <c r="H53" s="167">
        <f t="shared" si="5"/>
      </c>
      <c r="I53" s="167">
        <f t="shared" si="6"/>
      </c>
      <c r="K53" s="169">
        <f t="shared" si="16"/>
      </c>
      <c r="L53" s="167">
        <f t="shared" si="7"/>
      </c>
      <c r="M53" s="167">
        <f t="shared" si="8"/>
      </c>
      <c r="N53" s="167">
        <f t="shared" si="9"/>
      </c>
      <c r="O53" s="167">
        <f t="shared" si="10"/>
      </c>
      <c r="P53" s="167">
        <f t="shared" si="11"/>
      </c>
      <c r="Q53" s="167">
        <f t="shared" si="12"/>
      </c>
      <c r="R53" s="167">
        <f t="shared" si="13"/>
      </c>
      <c r="T53" s="170" t="str">
        <f t="shared" si="17"/>
        <v>---</v>
      </c>
      <c r="U53" s="170" t="str">
        <f t="shared" si="18"/>
        <v>---</v>
      </c>
      <c r="V53" s="168">
        <f t="shared" si="14"/>
      </c>
    </row>
    <row r="54" spans="2:22" ht="13.5" customHeight="1">
      <c r="B54" s="169">
        <f t="shared" si="15"/>
      </c>
      <c r="C54" s="167">
        <f t="shared" si="0"/>
      </c>
      <c r="D54" s="167">
        <f t="shared" si="1"/>
      </c>
      <c r="E54" s="167">
        <f t="shared" si="2"/>
      </c>
      <c r="F54" s="167">
        <f t="shared" si="3"/>
      </c>
      <c r="G54" s="167">
        <f t="shared" si="4"/>
      </c>
      <c r="H54" s="167">
        <f t="shared" si="5"/>
      </c>
      <c r="I54" s="167">
        <f t="shared" si="6"/>
      </c>
      <c r="K54" s="169">
        <f t="shared" si="16"/>
      </c>
      <c r="L54" s="167">
        <f t="shared" si="7"/>
      </c>
      <c r="M54" s="167">
        <f t="shared" si="8"/>
      </c>
      <c r="N54" s="167">
        <f t="shared" si="9"/>
      </c>
      <c r="O54" s="167">
        <f t="shared" si="10"/>
      </c>
      <c r="P54" s="167">
        <f t="shared" si="11"/>
      </c>
      <c r="Q54" s="167">
        <f t="shared" si="12"/>
      </c>
      <c r="R54" s="167">
        <f t="shared" si="13"/>
      </c>
      <c r="T54" s="170" t="str">
        <f t="shared" si="17"/>
        <v>---</v>
      </c>
      <c r="U54" s="170" t="str">
        <f t="shared" si="18"/>
        <v>---</v>
      </c>
      <c r="V54" s="168">
        <f t="shared" si="14"/>
      </c>
    </row>
    <row r="55" spans="2:22" ht="13.5" customHeight="1">
      <c r="B55" s="169">
        <f t="shared" si="15"/>
      </c>
      <c r="C55" s="167">
        <f t="shared" si="0"/>
      </c>
      <c r="D55" s="167">
        <f t="shared" si="1"/>
      </c>
      <c r="E55" s="167">
        <f t="shared" si="2"/>
      </c>
      <c r="F55" s="167">
        <f t="shared" si="3"/>
      </c>
      <c r="G55" s="167">
        <f t="shared" si="4"/>
      </c>
      <c r="H55" s="167">
        <f t="shared" si="5"/>
      </c>
      <c r="I55" s="167">
        <f t="shared" si="6"/>
      </c>
      <c r="K55" s="169">
        <f t="shared" si="16"/>
      </c>
      <c r="L55" s="167">
        <f t="shared" si="7"/>
      </c>
      <c r="M55" s="167">
        <f t="shared" si="8"/>
      </c>
      <c r="N55" s="167">
        <f t="shared" si="9"/>
      </c>
      <c r="O55" s="167">
        <f t="shared" si="10"/>
      </c>
      <c r="P55" s="167">
        <f t="shared" si="11"/>
      </c>
      <c r="Q55" s="167">
        <f t="shared" si="12"/>
      </c>
      <c r="R55" s="167">
        <f t="shared" si="13"/>
      </c>
      <c r="T55" s="170" t="str">
        <f t="shared" si="17"/>
        <v>---</v>
      </c>
      <c r="U55" s="170" t="str">
        <f t="shared" si="18"/>
        <v>---</v>
      </c>
      <c r="V55" s="168">
        <f t="shared" si="14"/>
      </c>
    </row>
    <row r="56" spans="2:22" ht="13.5" customHeight="1">
      <c r="B56" s="169">
        <f t="shared" si="15"/>
      </c>
      <c r="C56" s="167">
        <f t="shared" si="0"/>
      </c>
      <c r="D56" s="167">
        <f t="shared" si="1"/>
      </c>
      <c r="E56" s="167">
        <f t="shared" si="2"/>
      </c>
      <c r="F56" s="167">
        <f t="shared" si="3"/>
      </c>
      <c r="G56" s="167">
        <f t="shared" si="4"/>
      </c>
      <c r="H56" s="167">
        <f t="shared" si="5"/>
      </c>
      <c r="I56" s="167">
        <f t="shared" si="6"/>
      </c>
      <c r="K56" s="169">
        <f t="shared" si="16"/>
      </c>
      <c r="L56" s="167">
        <f t="shared" si="7"/>
      </c>
      <c r="M56" s="167">
        <f t="shared" si="8"/>
      </c>
      <c r="N56" s="167">
        <f t="shared" si="9"/>
      </c>
      <c r="O56" s="167">
        <f t="shared" si="10"/>
      </c>
      <c r="P56" s="167">
        <f t="shared" si="11"/>
      </c>
      <c r="Q56" s="167">
        <f t="shared" si="12"/>
      </c>
      <c r="R56" s="167">
        <f t="shared" si="13"/>
      </c>
      <c r="T56" s="170" t="str">
        <f t="shared" si="17"/>
        <v>---</v>
      </c>
      <c r="U56" s="170" t="str">
        <f t="shared" si="18"/>
        <v>---</v>
      </c>
      <c r="V56" s="168">
        <f t="shared" si="14"/>
      </c>
    </row>
    <row r="57" spans="2:22" ht="13.5" customHeight="1">
      <c r="B57" s="169">
        <f t="shared" si="15"/>
      </c>
      <c r="C57" s="167">
        <f t="shared" si="0"/>
      </c>
      <c r="D57" s="167">
        <f t="shared" si="1"/>
      </c>
      <c r="E57" s="167">
        <f t="shared" si="2"/>
      </c>
      <c r="F57" s="167">
        <f t="shared" si="3"/>
      </c>
      <c r="G57" s="167">
        <f t="shared" si="4"/>
      </c>
      <c r="H57" s="167">
        <f t="shared" si="5"/>
      </c>
      <c r="I57" s="167">
        <f t="shared" si="6"/>
      </c>
      <c r="K57" s="169">
        <f t="shared" si="16"/>
      </c>
      <c r="L57" s="167">
        <f t="shared" si="7"/>
      </c>
      <c r="M57" s="167">
        <f t="shared" si="8"/>
      </c>
      <c r="N57" s="167">
        <f t="shared" si="9"/>
      </c>
      <c r="O57" s="167">
        <f t="shared" si="10"/>
      </c>
      <c r="P57" s="167">
        <f t="shared" si="11"/>
      </c>
      <c r="Q57" s="167">
        <f t="shared" si="12"/>
      </c>
      <c r="R57" s="167">
        <f t="shared" si="13"/>
      </c>
      <c r="T57" s="170" t="str">
        <f t="shared" si="17"/>
        <v>---</v>
      </c>
      <c r="U57" s="170" t="str">
        <f t="shared" si="18"/>
        <v>---</v>
      </c>
      <c r="V57" s="168">
        <f t="shared" si="14"/>
      </c>
    </row>
    <row r="58" spans="2:22" ht="13.5" customHeight="1">
      <c r="B58" s="169">
        <f t="shared" si="15"/>
      </c>
      <c r="C58" s="167">
        <f t="shared" si="0"/>
      </c>
      <c r="D58" s="167">
        <f t="shared" si="1"/>
      </c>
      <c r="E58" s="167">
        <f t="shared" si="2"/>
      </c>
      <c r="F58" s="167">
        <f t="shared" si="3"/>
      </c>
      <c r="G58" s="167">
        <f t="shared" si="4"/>
      </c>
      <c r="H58" s="167">
        <f t="shared" si="5"/>
      </c>
      <c r="I58" s="167">
        <f t="shared" si="6"/>
      </c>
      <c r="K58" s="169">
        <f t="shared" si="16"/>
      </c>
      <c r="L58" s="167">
        <f t="shared" si="7"/>
      </c>
      <c r="M58" s="167">
        <f t="shared" si="8"/>
      </c>
      <c r="N58" s="167">
        <f t="shared" si="9"/>
      </c>
      <c r="O58" s="167">
        <f t="shared" si="10"/>
      </c>
      <c r="P58" s="167">
        <f t="shared" si="11"/>
      </c>
      <c r="Q58" s="167">
        <f t="shared" si="12"/>
      </c>
      <c r="R58" s="167">
        <f t="shared" si="13"/>
      </c>
      <c r="T58" s="170" t="str">
        <f t="shared" si="17"/>
        <v>---</v>
      </c>
      <c r="U58" s="170" t="str">
        <f t="shared" si="18"/>
        <v>---</v>
      </c>
      <c r="V58" s="168">
        <f t="shared" si="14"/>
      </c>
    </row>
    <row r="59" spans="2:22" ht="13.5" customHeight="1">
      <c r="B59" s="169">
        <f t="shared" si="15"/>
      </c>
      <c r="C59" s="167">
        <f t="shared" si="0"/>
      </c>
      <c r="D59" s="167">
        <f t="shared" si="1"/>
      </c>
      <c r="E59" s="167">
        <f t="shared" si="2"/>
      </c>
      <c r="F59" s="167">
        <f t="shared" si="3"/>
      </c>
      <c r="G59" s="167">
        <f t="shared" si="4"/>
      </c>
      <c r="H59" s="167">
        <f t="shared" si="5"/>
      </c>
      <c r="I59" s="167">
        <f t="shared" si="6"/>
      </c>
      <c r="K59" s="169">
        <f t="shared" si="16"/>
      </c>
      <c r="L59" s="167">
        <f t="shared" si="7"/>
      </c>
      <c r="M59" s="167">
        <f t="shared" si="8"/>
      </c>
      <c r="N59" s="167">
        <f t="shared" si="9"/>
      </c>
      <c r="O59" s="167">
        <f t="shared" si="10"/>
      </c>
      <c r="P59" s="167">
        <f t="shared" si="11"/>
      </c>
      <c r="Q59" s="167">
        <f t="shared" si="12"/>
      </c>
      <c r="R59" s="167">
        <f t="shared" si="13"/>
      </c>
      <c r="T59" s="170" t="str">
        <f t="shared" si="17"/>
        <v>---</v>
      </c>
      <c r="U59" s="170" t="str">
        <f t="shared" si="18"/>
        <v>---</v>
      </c>
      <c r="V59" s="168">
        <f t="shared" si="14"/>
      </c>
    </row>
    <row r="60" spans="2:22" ht="13.5" customHeight="1">
      <c r="B60" s="169">
        <f t="shared" si="15"/>
      </c>
      <c r="C60" s="167">
        <f t="shared" si="0"/>
      </c>
      <c r="D60" s="167">
        <f t="shared" si="1"/>
      </c>
      <c r="E60" s="167">
        <f t="shared" si="2"/>
      </c>
      <c r="F60" s="167">
        <f t="shared" si="3"/>
      </c>
      <c r="G60" s="167">
        <f t="shared" si="4"/>
      </c>
      <c r="H60" s="167">
        <f t="shared" si="5"/>
      </c>
      <c r="I60" s="167">
        <f t="shared" si="6"/>
      </c>
      <c r="K60" s="169">
        <f t="shared" si="16"/>
      </c>
      <c r="L60" s="167">
        <f t="shared" si="7"/>
      </c>
      <c r="M60" s="167">
        <f t="shared" si="8"/>
      </c>
      <c r="N60" s="167">
        <f t="shared" si="9"/>
      </c>
      <c r="O60" s="167">
        <f t="shared" si="10"/>
      </c>
      <c r="P60" s="167">
        <f t="shared" si="11"/>
      </c>
      <c r="Q60" s="167">
        <f t="shared" si="12"/>
      </c>
      <c r="R60" s="167">
        <f t="shared" si="13"/>
      </c>
      <c r="T60" s="170" t="str">
        <f t="shared" si="17"/>
        <v>---</v>
      </c>
      <c r="U60" s="170" t="str">
        <f t="shared" si="18"/>
        <v>---</v>
      </c>
      <c r="V60" s="168">
        <f t="shared" si="14"/>
      </c>
    </row>
    <row r="61" spans="2:22" ht="13.5" customHeight="1">
      <c r="B61" s="169">
        <f t="shared" si="15"/>
      </c>
      <c r="C61" s="167">
        <f t="shared" si="0"/>
      </c>
      <c r="D61" s="167">
        <f t="shared" si="1"/>
      </c>
      <c r="E61" s="167">
        <f t="shared" si="2"/>
      </c>
      <c r="F61" s="167">
        <f t="shared" si="3"/>
      </c>
      <c r="G61" s="167">
        <f t="shared" si="4"/>
      </c>
      <c r="H61" s="167">
        <f t="shared" si="5"/>
      </c>
      <c r="I61" s="167">
        <f t="shared" si="6"/>
      </c>
      <c r="K61" s="169">
        <f t="shared" si="16"/>
      </c>
      <c r="L61" s="167">
        <f t="shared" si="7"/>
      </c>
      <c r="M61" s="167">
        <f t="shared" si="8"/>
      </c>
      <c r="N61" s="167">
        <f t="shared" si="9"/>
      </c>
      <c r="O61" s="167">
        <f t="shared" si="10"/>
      </c>
      <c r="P61" s="167">
        <f t="shared" si="11"/>
      </c>
      <c r="Q61" s="167">
        <f t="shared" si="12"/>
      </c>
      <c r="R61" s="167">
        <f t="shared" si="13"/>
      </c>
      <c r="T61" s="170" t="str">
        <f t="shared" si="17"/>
        <v>---</v>
      </c>
      <c r="U61" s="170" t="str">
        <f t="shared" si="18"/>
        <v>---</v>
      </c>
      <c r="V61" s="168">
        <f t="shared" si="14"/>
      </c>
    </row>
    <row r="62" spans="2:22" ht="13.5" customHeight="1">
      <c r="B62" s="169">
        <f t="shared" si="15"/>
      </c>
      <c r="C62" s="167">
        <f t="shared" si="0"/>
      </c>
      <c r="D62" s="167">
        <f t="shared" si="1"/>
      </c>
      <c r="E62" s="167">
        <f t="shared" si="2"/>
      </c>
      <c r="F62" s="167">
        <f t="shared" si="3"/>
      </c>
      <c r="G62" s="167">
        <f t="shared" si="4"/>
      </c>
      <c r="H62" s="167">
        <f t="shared" si="5"/>
      </c>
      <c r="I62" s="167">
        <f t="shared" si="6"/>
      </c>
      <c r="K62" s="169">
        <f t="shared" si="16"/>
      </c>
      <c r="L62" s="167">
        <f t="shared" si="7"/>
      </c>
      <c r="M62" s="167">
        <f t="shared" si="8"/>
      </c>
      <c r="N62" s="167">
        <f t="shared" si="9"/>
      </c>
      <c r="O62" s="167">
        <f t="shared" si="10"/>
      </c>
      <c r="P62" s="167">
        <f t="shared" si="11"/>
      </c>
      <c r="Q62" s="167">
        <f t="shared" si="12"/>
      </c>
      <c r="R62" s="167">
        <f t="shared" si="13"/>
      </c>
      <c r="T62" s="170" t="str">
        <f t="shared" si="17"/>
        <v>---</v>
      </c>
      <c r="U62" s="170" t="str">
        <f t="shared" si="18"/>
        <v>---</v>
      </c>
      <c r="V62" s="168">
        <f t="shared" si="14"/>
      </c>
    </row>
    <row r="63" spans="2:22" ht="13.5" customHeight="1">
      <c r="B63" s="169">
        <f t="shared" si="15"/>
      </c>
      <c r="C63" s="167">
        <f t="shared" si="0"/>
      </c>
      <c r="D63" s="167">
        <f t="shared" si="1"/>
      </c>
      <c r="E63" s="167">
        <f t="shared" si="2"/>
      </c>
      <c r="F63" s="167">
        <f t="shared" si="3"/>
      </c>
      <c r="G63" s="167">
        <f t="shared" si="4"/>
      </c>
      <c r="H63" s="167">
        <f t="shared" si="5"/>
      </c>
      <c r="I63" s="167">
        <f t="shared" si="6"/>
      </c>
      <c r="K63" s="169">
        <f t="shared" si="16"/>
      </c>
      <c r="L63" s="167">
        <f t="shared" si="7"/>
      </c>
      <c r="M63" s="167">
        <f t="shared" si="8"/>
      </c>
      <c r="N63" s="167">
        <f t="shared" si="9"/>
      </c>
      <c r="O63" s="167">
        <f t="shared" si="10"/>
      </c>
      <c r="P63" s="167">
        <f t="shared" si="11"/>
      </c>
      <c r="Q63" s="167">
        <f t="shared" si="12"/>
      </c>
      <c r="R63" s="167">
        <f t="shared" si="13"/>
      </c>
      <c r="T63" s="170" t="str">
        <f t="shared" si="17"/>
        <v>---</v>
      </c>
      <c r="U63" s="170" t="str">
        <f t="shared" si="18"/>
        <v>---</v>
      </c>
      <c r="V63" s="168">
        <f t="shared" si="14"/>
      </c>
    </row>
    <row r="64" spans="2:22" ht="13.5" customHeight="1">
      <c r="B64" s="169">
        <f t="shared" si="15"/>
      </c>
      <c r="C64" s="167">
        <f t="shared" si="0"/>
      </c>
      <c r="D64" s="167">
        <f t="shared" si="1"/>
      </c>
      <c r="E64" s="167">
        <f t="shared" si="2"/>
      </c>
      <c r="F64" s="167">
        <f t="shared" si="3"/>
      </c>
      <c r="G64" s="167">
        <f t="shared" si="4"/>
      </c>
      <c r="H64" s="167">
        <f t="shared" si="5"/>
      </c>
      <c r="I64" s="167">
        <f t="shared" si="6"/>
      </c>
      <c r="K64" s="169">
        <f t="shared" si="16"/>
      </c>
      <c r="L64" s="167">
        <f t="shared" si="7"/>
      </c>
      <c r="M64" s="167">
        <f t="shared" si="8"/>
      </c>
      <c r="N64" s="167">
        <f t="shared" si="9"/>
      </c>
      <c r="O64" s="167">
        <f t="shared" si="10"/>
      </c>
      <c r="P64" s="167">
        <f t="shared" si="11"/>
      </c>
      <c r="Q64" s="167">
        <f t="shared" si="12"/>
      </c>
      <c r="R64" s="167">
        <f t="shared" si="13"/>
      </c>
      <c r="T64" s="170" t="str">
        <f t="shared" si="17"/>
        <v>---</v>
      </c>
      <c r="U64" s="170" t="str">
        <f t="shared" si="18"/>
        <v>---</v>
      </c>
      <c r="V64" s="168">
        <f t="shared" si="14"/>
      </c>
    </row>
    <row r="65" spans="2:22" ht="12.75">
      <c r="B65" s="171">
        <f t="shared" si="15"/>
      </c>
      <c r="C65" s="172">
        <f t="shared" si="0"/>
      </c>
      <c r="D65" s="172">
        <f t="shared" si="1"/>
      </c>
      <c r="E65" s="172">
        <f t="shared" si="2"/>
      </c>
      <c r="F65" s="172">
        <f t="shared" si="3"/>
      </c>
      <c r="G65" s="172">
        <f t="shared" si="4"/>
      </c>
      <c r="H65" s="172">
        <f t="shared" si="5"/>
      </c>
      <c r="I65" s="172">
        <f t="shared" si="6"/>
      </c>
      <c r="K65" s="171">
        <f t="shared" si="16"/>
      </c>
      <c r="L65" s="172">
        <f t="shared" si="7"/>
      </c>
      <c r="M65" s="172">
        <f t="shared" si="8"/>
      </c>
      <c r="N65" s="172">
        <f t="shared" si="9"/>
      </c>
      <c r="O65" s="172">
        <f t="shared" si="10"/>
      </c>
      <c r="P65" s="172">
        <f t="shared" si="11"/>
      </c>
      <c r="Q65" s="172">
        <f t="shared" si="12"/>
      </c>
      <c r="R65" s="172">
        <f t="shared" si="13"/>
      </c>
      <c r="T65" s="173" t="str">
        <f t="shared" si="17"/>
        <v>---</v>
      </c>
      <c r="U65" s="173" t="str">
        <f t="shared" si="18"/>
        <v>---</v>
      </c>
      <c r="V65" s="174">
        <f t="shared" si="14"/>
      </c>
    </row>
  </sheetData>
  <mergeCells count="2">
    <mergeCell ref="C13:D13"/>
    <mergeCell ref="L13:M13"/>
  </mergeCells>
  <printOptions/>
  <pageMargins left="0.75" right="0.75" top="1" bottom="1" header="0.5" footer="0.5"/>
  <pageSetup orientation="portrait" paperSize="9"/>
  <ignoredErrors>
    <ignoredError sqref="B16:V65" unlockedFormula="1"/>
    <ignoredError sqref="C3:C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N60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2" ht="12">
      <c r="B2" s="5" t="s">
        <v>18</v>
      </c>
    </row>
    <row r="3" spans="2:6" ht="12">
      <c r="B3" s="4" t="s">
        <v>69</v>
      </c>
      <c r="C3" s="8">
        <f>IF(vtoc1="","",MATCH(vtoc1,RHV,0)+15)</f>
        <v>19</v>
      </c>
      <c r="E3" s="4" t="s">
        <v>79</v>
      </c>
      <c r="F3" s="4">
        <f ca="1">IF(vtoc1="","",INDIRECT(ADDRESS(vc1th,9,1,,"Input")))</f>
        <v>3.103109</v>
      </c>
    </row>
    <row r="4" spans="2:6" ht="12">
      <c r="B4" s="4" t="s">
        <v>70</v>
      </c>
      <c r="C4" s="8">
        <f>IF(vtoc2="","",MATCH(vtoc2,RHV,0)+15)</f>
        <v>20</v>
      </c>
      <c r="E4" s="4" t="s">
        <v>80</v>
      </c>
      <c r="F4" s="4">
        <f ca="1">IF(vtoc2="","",INDIRECT(ADDRESS(vc2th,9,1,,"Input")))</f>
        <v>8.767212</v>
      </c>
    </row>
    <row r="5" spans="2:6" ht="12">
      <c r="B5" s="4" t="s">
        <v>71</v>
      </c>
      <c r="C5" s="8">
        <f>IF(vtoc3="","",MATCH(vtoc3,RHV,0)+15)</f>
        <v>18</v>
      </c>
      <c r="E5" s="4" t="s">
        <v>81</v>
      </c>
      <c r="F5" s="4">
        <f ca="1">IF(vtoc3="","",INDIRECT(ADDRESS(vc3th,9,1,,"Input")))</f>
        <v>0.495082</v>
      </c>
    </row>
    <row r="7" spans="2:5" ht="12">
      <c r="B7" s="6" t="s">
        <v>36</v>
      </c>
      <c r="E7" s="6" t="s">
        <v>39</v>
      </c>
    </row>
    <row r="8" spans="2:6" ht="12">
      <c r="B8" s="4" t="s">
        <v>72</v>
      </c>
      <c r="C8" s="4">
        <f ca="1">IF(vtoc1="","",INDIRECT(ADDRESS(vc1th,11,1,,"Input")))</f>
        <v>0.0128226</v>
      </c>
      <c r="E8" s="7" t="s">
        <v>82</v>
      </c>
      <c r="F8" s="4">
        <f ca="1">IF(vtoc1="","",INDIRECT(ADDRESS(vc1th,15,1,,"Input")))</f>
        <v>0.0152712</v>
      </c>
    </row>
    <row r="9" spans="2:6" ht="12">
      <c r="B9" s="4" t="s">
        <v>73</v>
      </c>
      <c r="C9" s="4">
        <f ca="1">IF(vtoc2="","",INDIRECT(ADDRESS(vc2th,11,1,,"Input")))</f>
        <v>0.0255427</v>
      </c>
      <c r="E9" s="7" t="s">
        <v>83</v>
      </c>
      <c r="F9" s="4">
        <f ca="1">IF(vtoc2="","",INDIRECT(ADDRESS(vc2th,15,1,,"Input")))</f>
        <v>0.0290823</v>
      </c>
    </row>
    <row r="10" spans="2:6" ht="12">
      <c r="B10" s="4" t="s">
        <v>74</v>
      </c>
      <c r="C10" s="4">
        <f ca="1">IF(vtoc3="","",INDIRECT(ADDRESS(vc3th,11,1,,"Input")))</f>
        <v>-0.1848827</v>
      </c>
      <c r="E10" s="4" t="s">
        <v>84</v>
      </c>
      <c r="F10" s="4">
        <f ca="1">IF(vtoc3="","",INDIRECT(ADDRESS(vc3th,15,1,,"Input")))</f>
        <v>-0.1764152</v>
      </c>
    </row>
    <row r="12" spans="2:6" ht="12">
      <c r="B12" s="4" t="s">
        <v>75</v>
      </c>
      <c r="C12" s="4">
        <f>SUMPRODUCT(Bval,PB)+Pcon</f>
        <v>0.47629195751568004</v>
      </c>
      <c r="E12" s="4" t="s">
        <v>85</v>
      </c>
      <c r="F12" s="4">
        <f>SUMPRODUCT(Bval,NB)+Ncon</f>
        <v>0.47125523758233</v>
      </c>
    </row>
    <row r="13" spans="2:6" ht="12">
      <c r="B13" s="4" t="s">
        <v>76</v>
      </c>
      <c r="C13" s="4">
        <f>SUMPRODUCT(Mn,PB)+Pcon</f>
        <v>0.47629195751568004</v>
      </c>
      <c r="E13" s="4" t="s">
        <v>86</v>
      </c>
      <c r="F13" s="4">
        <f>SUMPRODUCT(Mn,NB)+Ncon</f>
        <v>0.47125523758233</v>
      </c>
    </row>
    <row r="14" spans="2:6" ht="12">
      <c r="B14" s="4" t="s">
        <v>77</v>
      </c>
      <c r="C14" s="4">
        <f>SUMPRODUCT(MIN,PB)+Pcon</f>
        <v>0.314297863</v>
      </c>
      <c r="E14" s="4" t="s">
        <v>87</v>
      </c>
      <c r="F14" s="4">
        <f>SUMPRODUCT(MIN,NB)+Ncon</f>
        <v>0.267673756</v>
      </c>
    </row>
    <row r="15" spans="2:6" ht="12">
      <c r="B15" s="4" t="s">
        <v>78</v>
      </c>
      <c r="C15" s="4">
        <f>SUMPRODUCT(MAX,PB)+Pcon</f>
        <v>1.7066457011459997</v>
      </c>
      <c r="E15" s="4" t="s">
        <v>88</v>
      </c>
      <c r="F15" s="4">
        <f>SUMPRODUCT(MAX,NB)+Ncon</f>
        <v>1.9708589623539994</v>
      </c>
    </row>
    <row r="17" spans="2:7" ht="12">
      <c r="B17" s="4" t="s">
        <v>89</v>
      </c>
      <c r="C17" s="4">
        <f>EXP(C12)</f>
        <v>1.610093026103516</v>
      </c>
      <c r="E17" s="4" t="s">
        <v>96</v>
      </c>
      <c r="F17" s="4">
        <f>Alpha^(-1)</f>
        <v>2.2643876359906296</v>
      </c>
      <c r="G17" s="4" t="s">
        <v>95</v>
      </c>
    </row>
    <row r="18" spans="2:7" ht="12.75">
      <c r="B18" s="4" t="s">
        <v>90</v>
      </c>
      <c r="C18" s="4">
        <f>EXP(C13)</f>
        <v>1.610093026103516</v>
      </c>
      <c r="E18" s="4" t="s">
        <v>98</v>
      </c>
      <c r="F18" s="4">
        <f>EXP(GAMMALN(F17))</f>
        <v>1.1424405865942335</v>
      </c>
      <c r="G18" s="9" t="s">
        <v>97</v>
      </c>
    </row>
    <row r="19" spans="2:14" ht="12.75">
      <c r="B19" s="4" t="s">
        <v>91</v>
      </c>
      <c r="C19" s="4">
        <f>EXP(C14)</f>
        <v>1.3692975388825712</v>
      </c>
      <c r="E19" s="4" t="s">
        <v>5</v>
      </c>
      <c r="F19" s="4">
        <f>(F17^F17)/F18</f>
        <v>5.570735294184839</v>
      </c>
      <c r="J19" s="3"/>
      <c r="K19" s="3"/>
      <c r="L19" s="3"/>
      <c r="M19" s="9"/>
      <c r="N19" s="10"/>
    </row>
    <row r="20" spans="2:14" ht="12.75">
      <c r="B20" s="4" t="s">
        <v>92</v>
      </c>
      <c r="C20" s="4">
        <f>EXP(C15)</f>
        <v>5.510446757787148</v>
      </c>
      <c r="J20" s="3"/>
      <c r="K20" s="3"/>
      <c r="L20" s="3"/>
      <c r="M20" s="9"/>
      <c r="N20" s="9"/>
    </row>
    <row r="21" spans="5:6" ht="12">
      <c r="E21" s="4" t="s">
        <v>99</v>
      </c>
      <c r="F21" s="4">
        <f>EXP(F12)</f>
        <v>1.6020038270803036</v>
      </c>
    </row>
    <row r="22" spans="5:6" ht="12">
      <c r="E22" s="4" t="s">
        <v>100</v>
      </c>
      <c r="F22" s="4">
        <f>EXP(F13)</f>
        <v>1.6020038270803036</v>
      </c>
    </row>
    <row r="23" spans="5:6" ht="12">
      <c r="E23" s="4" t="s">
        <v>101</v>
      </c>
      <c r="F23" s="4">
        <f>EXP(F14)</f>
        <v>1.3069206954208665</v>
      </c>
    </row>
    <row r="24" spans="5:6" ht="12">
      <c r="E24" s="4" t="s">
        <v>102</v>
      </c>
      <c r="F24" s="4">
        <f>EXP(F15)</f>
        <v>7.176838475581474</v>
      </c>
    </row>
    <row r="28" spans="2:5" ht="12">
      <c r="B28" s="6" t="s">
        <v>93</v>
      </c>
      <c r="C28" s="4" t="s">
        <v>94</v>
      </c>
      <c r="E28" s="6" t="s">
        <v>93</v>
      </c>
    </row>
    <row r="29" spans="2:5" ht="12">
      <c r="B29" s="4">
        <f>IF(ChV="","",+Psbase-pbvc1*(bval1-ChV))</f>
        <v>0.43650203205228005</v>
      </c>
      <c r="C29" s="4">
        <f>EXP(B29)</f>
        <v>1.5472853866541778</v>
      </c>
      <c r="E29" s="4">
        <f>IF(ChV="","",+Nsbase-nbvc1*(bval1-ChV))</f>
        <v>0.42386703942153003</v>
      </c>
    </row>
    <row r="30" spans="2:5" ht="12">
      <c r="B30" s="4">
        <f>IF(ChV="","",+Psbase-pbvc1*(bval1-ChV))</f>
        <v>0.44932463205228</v>
      </c>
      <c r="C30" s="7">
        <f aca="true" t="shared" si="0" ref="C30:C43">EXP(B30)</f>
        <v>1.5672533552983032</v>
      </c>
      <c r="E30" s="4">
        <f>IF(ChV="","",+Nsbase-nbvc1*(bval1-ChV))</f>
        <v>0.43913823942153</v>
      </c>
    </row>
    <row r="31" spans="2:5" ht="12">
      <c r="B31" s="4">
        <f>IF(ChV="","",+Psbase-pbvc1*(bval1-ChV))</f>
        <v>0.46214723205228003</v>
      </c>
      <c r="C31" s="7">
        <f t="shared" si="0"/>
        <v>1.5874790138134842</v>
      </c>
      <c r="E31" s="4">
        <f>IF(ChV="","",+Nsbase-nbvc1*(bval1-ChV))</f>
        <v>0.45440943942153</v>
      </c>
    </row>
    <row r="32" spans="2:5" ht="12">
      <c r="B32" s="4">
        <f>IF(ChV="","",+Psbase-pbvc1*(bval1-ChV))</f>
        <v>0.47496983205228005</v>
      </c>
      <c r="C32" s="7">
        <f t="shared" si="0"/>
        <v>1.6079656877292636</v>
      </c>
      <c r="E32" s="4">
        <f>IF(ChV="","",+Nsbase-nbvc1*(bval1-ChV))</f>
        <v>0.46968063942153</v>
      </c>
    </row>
    <row r="33" spans="2:5" ht="12">
      <c r="B33" s="4">
        <f>IF(ChV="","",+Psbase-pbvc1*(bval1-ChV))</f>
        <v>0.48779243205228007</v>
      </c>
      <c r="C33" s="7">
        <f t="shared" si="0"/>
        <v>1.6287167454916829</v>
      </c>
      <c r="E33" s="4">
        <f>IF(ChV="","",+Nsbase-nbvc1*(bval1-ChV))</f>
        <v>0.48495183942153003</v>
      </c>
    </row>
    <row r="34" spans="2:5" ht="12">
      <c r="B34" s="4">
        <f>IF(ChV="","",+Psbase-pbvc2*(bval2-ChV))</f>
        <v>0.50778069156328</v>
      </c>
      <c r="C34" s="7">
        <f t="shared" si="0"/>
        <v>1.6615994981694835</v>
      </c>
      <c r="E34" s="4">
        <f>IF(ChV="","",+Nsbase-nbvc2*(bval2-ChV))</f>
        <v>0.50710754803473</v>
      </c>
    </row>
    <row r="35" spans="2:5" ht="12">
      <c r="B35" s="4">
        <f>IF(ChV="","",+Psbase-pbvc2*(bval2-ChV))</f>
        <v>0.76320769156328</v>
      </c>
      <c r="C35" s="7">
        <f t="shared" si="0"/>
        <v>2.145146163527853</v>
      </c>
      <c r="E35" s="4">
        <f>IF(ChV="","",+Nsbase-nbvc2*(bval2-ChV))</f>
        <v>0.79793054803473</v>
      </c>
    </row>
    <row r="36" spans="2:5" ht="12">
      <c r="B36" s="4">
        <f>IF(ChV="","",+Psbase-pbvc2*(bval2-ChV))</f>
        <v>1.01863469156328</v>
      </c>
      <c r="C36" s="7">
        <f t="shared" si="0"/>
        <v>2.769411081291081</v>
      </c>
      <c r="E36" s="4">
        <f>IF(ChV="","",+Nsbase-nbvc2*(bval2-ChV))</f>
        <v>1.0887535480347301</v>
      </c>
    </row>
    <row r="37" spans="2:5" ht="12">
      <c r="B37" s="4">
        <f>IF(ChV="","",+Psbase-pbvc2*(bval2-ChV))</f>
        <v>1.5294886915632802</v>
      </c>
      <c r="C37" s="7">
        <f t="shared" si="0"/>
        <v>4.61581611310497</v>
      </c>
      <c r="E37" s="4">
        <f>IF(ChV="","",+Nsbase-nbvc2*(bval2-ChV))</f>
        <v>1.67039954803473</v>
      </c>
    </row>
    <row r="38" spans="2:5" ht="12">
      <c r="B38" s="4">
        <f>IF(ChV="","",+Psbase-pbvc2*(bval2-ChV))</f>
        <v>2.04034269156328</v>
      </c>
      <c r="C38" s="7">
        <f t="shared" si="0"/>
        <v>7.693245157402513</v>
      </c>
      <c r="E38" s="4">
        <f>IF(ChV="","",+Nsbase-nbvc2*(bval2-ChV))</f>
        <v>2.25204554803473</v>
      </c>
    </row>
    <row r="39" spans="2:5" ht="12">
      <c r="B39" s="4">
        <f>IF(ChV="","",+Psbase-pbvc3*(bval3-ChV))</f>
        <v>0.5678240543970801</v>
      </c>
      <c r="C39" s="7">
        <f t="shared" si="0"/>
        <v>1.7644235816254799</v>
      </c>
      <c r="E39" s="4">
        <f>IF(ChV="","",+Nsbase-nbvc3*(bval3-ChV))</f>
        <v>0.55859522762873</v>
      </c>
    </row>
    <row r="40" spans="2:5" ht="12">
      <c r="B40" s="7">
        <f>IF(ChV="","",+Psbase-pbvc3*(bval3-ChV))</f>
        <v>0.38294135439708005</v>
      </c>
      <c r="C40" s="7">
        <f t="shared" si="0"/>
        <v>1.4665920183731642</v>
      </c>
      <c r="E40" s="7">
        <f>IF(ChV="","",+Nsbase-nbvc3*(bval3-ChV))</f>
        <v>0.38218002762873005</v>
      </c>
    </row>
    <row r="41" spans="2:5" ht="12">
      <c r="B41" s="7">
        <f>IF(ChV="","",+Psbase-pbvc3*(bval3-ChV))</f>
        <v>0.19805865439708004</v>
      </c>
      <c r="C41" s="7">
        <f t="shared" si="0"/>
        <v>1.219033893422778</v>
      </c>
      <c r="E41" s="7">
        <f>IF(ChV="","",+Nsbase-nbvc3*(bval3-ChV))</f>
        <v>0.20576482762873</v>
      </c>
    </row>
    <row r="42" spans="2:5" ht="12">
      <c r="B42" s="7">
        <f>IF(ChV="","",+Psbase-pbvc3*(bval3-ChV))</f>
        <v>0.013175954397080025</v>
      </c>
      <c r="C42" s="7">
        <f t="shared" si="0"/>
        <v>1.0132631397802845</v>
      </c>
      <c r="E42" s="7">
        <f>IF(ChV="","",+Nsbase-nbvc3*(bval3-ChV))</f>
        <v>0.029349627628730002</v>
      </c>
    </row>
    <row r="43" spans="2:5" ht="12">
      <c r="B43" s="6">
        <f>IF(ChV="","",+Psbase-pbvc3*(bval3-ChV))</f>
        <v>-0.17170674560292004</v>
      </c>
      <c r="C43" s="6">
        <f t="shared" si="0"/>
        <v>0.8422261234711426</v>
      </c>
      <c r="E43" s="6">
        <f>IF(ChV="","",+Nsbase-nbvc3*(bval3-ChV))</f>
        <v>-0.14706557237126994</v>
      </c>
    </row>
    <row r="45" ht="12">
      <c r="E45" s="6" t="s">
        <v>104</v>
      </c>
    </row>
    <row r="46" ht="12">
      <c r="E46" s="4">
        <f>IF(E29="","",EXP(E29))</f>
        <v>1.5278584353369415</v>
      </c>
    </row>
    <row r="47" ht="12">
      <c r="E47" s="4">
        <f aca="true" t="shared" si="1" ref="E47:E60">IF(E30="","",EXP(E30))</f>
        <v>1.5513697330194243</v>
      </c>
    </row>
    <row r="48" ht="12">
      <c r="E48" s="4">
        <f t="shared" si="1"/>
        <v>1.5752428319695702</v>
      </c>
    </row>
    <row r="49" ht="12">
      <c r="E49" s="4">
        <f t="shared" si="1"/>
        <v>1.5994832997302277</v>
      </c>
    </row>
    <row r="50" ht="12">
      <c r="E50" s="4">
        <f t="shared" si="1"/>
        <v>1.624096789519826</v>
      </c>
    </row>
    <row r="51" ht="12">
      <c r="E51" s="4">
        <f t="shared" si="1"/>
        <v>1.6604813795896123</v>
      </c>
    </row>
    <row r="52" ht="12">
      <c r="E52" s="4">
        <f t="shared" si="1"/>
        <v>2.2209400407442983</v>
      </c>
    </row>
    <row r="53" ht="12">
      <c r="E53" s="4">
        <f t="shared" si="1"/>
        <v>2.970569092319705</v>
      </c>
    </row>
    <row r="54" ht="12">
      <c r="E54" s="4">
        <f t="shared" si="1"/>
        <v>5.314290687454764</v>
      </c>
    </row>
    <row r="55" ht="12">
      <c r="E55" s="4">
        <f t="shared" si="1"/>
        <v>9.507163318902847</v>
      </c>
    </row>
    <row r="56" ht="12">
      <c r="E56" s="4">
        <f t="shared" si="1"/>
        <v>1.7482149305037598</v>
      </c>
    </row>
    <row r="57" ht="12">
      <c r="E57" s="4">
        <f t="shared" si="1"/>
        <v>1.465475887535381</v>
      </c>
    </row>
    <row r="58" ht="12">
      <c r="E58" s="4">
        <f t="shared" si="1"/>
        <v>1.228464269166699</v>
      </c>
    </row>
    <row r="59" ht="12">
      <c r="E59" s="4">
        <f t="shared" si="1"/>
        <v>1.0297845726805497</v>
      </c>
    </row>
    <row r="60" ht="12">
      <c r="E60" s="6">
        <f t="shared" si="1"/>
        <v>0.8632373710390446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Tractorss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Tractorr</dc:creator>
  <cp:keywords/>
  <dc:description/>
  <cp:lastModifiedBy>Simon Cheng</cp:lastModifiedBy>
  <cp:lastPrinted>2000-06-06T22:09:07Z</cp:lastPrinted>
  <dcterms:created xsi:type="dcterms:W3CDTF">1999-10-02T14:19:16Z</dcterms:created>
  <dcterms:modified xsi:type="dcterms:W3CDTF">2003-09-22T21:10:46Z</dcterms:modified>
  <cp:category/>
  <cp:version/>
  <cp:contentType/>
  <cp:contentStatus/>
</cp:coreProperties>
</file>