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5" yWindow="65521" windowWidth="6150" windowHeight="7410" activeTab="0"/>
  </bookViews>
  <sheets>
    <sheet name="Input" sheetId="1" r:id="rId1"/>
    <sheet name="Calculator" sheetId="2" r:id="rId2"/>
    <sheet name="Plotter" sheetId="3" r:id="rId3"/>
    <sheet name="Change" sheetId="4" r:id="rId4"/>
    <sheet name="Tech" sheetId="5" state="hidden" r:id="rId5"/>
  </sheets>
  <definedNames>
    <definedName name="BsVc1">'Tech'!$E$4</definedName>
    <definedName name="BsVc2">'Tech'!$E$5</definedName>
    <definedName name="BsVc3">'Tech'!$E$6</definedName>
    <definedName name="Bval">'Input'!$I$16:$I$65</definedName>
    <definedName name="cat1">'Input'!$L$9</definedName>
    <definedName name="cat10">'Input'!$U$9</definedName>
    <definedName name="cat2">'Input'!$M$9</definedName>
    <definedName name="cat3">'Input'!$N$9</definedName>
    <definedName name="cat4">'Input'!$O$9</definedName>
    <definedName name="cat5">'Input'!$P$9</definedName>
    <definedName name="cat6">'Input'!$Q$9</definedName>
    <definedName name="cat7">'Input'!$R$9</definedName>
    <definedName name="cat8">'Input'!$S$9</definedName>
    <definedName name="cat9">'Input'!$T$9</definedName>
    <definedName name="Chorder1">'Tech'!$C$4</definedName>
    <definedName name="Chorder2">'Tech'!$C$5</definedName>
    <definedName name="Chorder3">'Tech'!$C$6</definedName>
    <definedName name="con1">'Input'!$L$15</definedName>
    <definedName name="con2">'Input'!$M$15</definedName>
    <definedName name="con3">'Input'!$N$15</definedName>
    <definedName name="con4">'Input'!$O$15</definedName>
    <definedName name="con5">'Input'!$P$15</definedName>
    <definedName name="con6">'Input'!$Q$15</definedName>
    <definedName name="con7">'Input'!$R$15</definedName>
    <definedName name="con8">'Input'!$S$15</definedName>
    <definedName name="con9">'Input'!$T$15</definedName>
    <definedName name="Dis">'Tech'!$H$5</definedName>
    <definedName name="e1b">'Input'!$L$16:$L$65</definedName>
    <definedName name="e2b">'Input'!$M$16:$M$65</definedName>
    <definedName name="e3b">'Input'!$N$16:$N$65</definedName>
    <definedName name="e4b">'Input'!$O$16:$O$65</definedName>
    <definedName name="e5b">'Input'!$P$16:$P$65</definedName>
    <definedName name="e6b">'Input'!$Q$16:$Q$65</definedName>
    <definedName name="e7b">'Input'!$R$16:$R$65</definedName>
    <definedName name="e8b">'Input'!$S$16:$S$65</definedName>
    <definedName name="e9b">'Input'!$T$16:$T$65</definedName>
    <definedName name="EndV">'Plotter'!$D$9</definedName>
    <definedName name="Max">'Input'!$F$16:$F$65</definedName>
    <definedName name="Min">'Input'!$E$16:$E$65</definedName>
    <definedName name="Mn">'Input'!$C$16:$C$65</definedName>
    <definedName name="NmE">'Tech'!$C$3</definedName>
    <definedName name="NmP">'Plotter'!$D$10</definedName>
    <definedName name="PBsV">'Tech'!$H$6</definedName>
    <definedName name="Porder">'Tech'!$H$4</definedName>
    <definedName name="RHV">'Input'!$B$16:$B$65</definedName>
    <definedName name="SD">'Input'!$D$16:$D$65</definedName>
    <definedName name="StartV">'Plotter'!$D$8</definedName>
    <definedName name="SumBV">'Tech'!$C$11:$K$11</definedName>
    <definedName name="vtoc1">'Calculator'!$D$26</definedName>
    <definedName name="vtoc2">'Calculator'!$D$31</definedName>
    <definedName name="vtoc3">'Calculator'!$D$36</definedName>
    <definedName name="VtoP">'Plotter'!$D$7</definedName>
    <definedName name="Vtype">'Input'!$G$16:$G$65</definedName>
  </definedNames>
  <calcPr fullCalcOnLoad="1"/>
</workbook>
</file>

<file path=xl/comments1.xml><?xml version="1.0" encoding="utf-8"?>
<comments xmlns="http://schemas.openxmlformats.org/spreadsheetml/2006/main">
  <authors>
    <author>Simon Cheng</author>
  </authors>
  <commentList>
    <comment ref="G13" authorId="0">
      <text>
        <r>
          <rPr>
            <b/>
            <sz val="10"/>
            <rFont val="Tahoma"/>
            <family val="2"/>
          </rPr>
          <t xml:space="preserve"> </t>
        </r>
        <r>
          <rPr>
            <sz val="10"/>
            <rFont val="Tahoma"/>
            <family val="2"/>
          </rPr>
          <t>C = Cotinuous
 B = Binary
(Case Insensitive)</t>
        </r>
      </text>
    </comment>
    <comment ref="H13" authorId="0">
      <text>
        <r>
          <rPr>
            <sz val="10"/>
            <rFont val="Tahoma"/>
            <family val="2"/>
          </rPr>
          <t>To specify the base values, enter:
 # = any number (e.g., 1.2)
 m = mean
 min = minimum
 max = maximum
(case insensitive)</t>
        </r>
      </text>
    </comment>
  </commentList>
</comments>
</file>

<file path=xl/sharedStrings.xml><?xml version="1.0" encoding="utf-8"?>
<sst xmlns="http://schemas.openxmlformats.org/spreadsheetml/2006/main" count="423" uniqueCount="140">
  <si>
    <t>Std</t>
  </si>
  <si>
    <t>Variable</t>
  </si>
  <si>
    <t>Mean</t>
  </si>
  <si>
    <t>Base</t>
  </si>
  <si>
    <t>Type</t>
  </si>
  <si>
    <t>Minimum</t>
  </si>
  <si>
    <t>Maximum</t>
  </si>
  <si>
    <t>Predicted Probabilities</t>
  </si>
  <si>
    <t>WARM</t>
  </si>
  <si>
    <t>YR89</t>
  </si>
  <si>
    <t>MALE</t>
  </si>
  <si>
    <t>WHITE</t>
  </si>
  <si>
    <t>AGE</t>
  </si>
  <si>
    <t>ED</t>
  </si>
  <si>
    <t>PRST</t>
  </si>
  <si>
    <t>Name</t>
  </si>
  <si>
    <t>Do Not Insert or Remove Rows</t>
  </si>
  <si>
    <t>Min</t>
  </si>
  <si>
    <t>Max</t>
  </si>
  <si>
    <t>Values</t>
  </si>
  <si>
    <t>Calculator</t>
  </si>
  <si>
    <t>Value</t>
  </si>
  <si>
    <t>White</t>
  </si>
  <si>
    <t>Age</t>
  </si>
  <si>
    <t>---</t>
  </si>
  <si>
    <t>Constant</t>
  </si>
  <si>
    <t>Equation #</t>
  </si>
  <si>
    <t>constant</t>
  </si>
  <si>
    <t>NmE</t>
  </si>
  <si>
    <t>Chorder1</t>
  </si>
  <si>
    <t>Chorder2</t>
  </si>
  <si>
    <t>Chorder3</t>
  </si>
  <si>
    <t>Sumb</t>
  </si>
  <si>
    <t>CDF</t>
  </si>
  <si>
    <t>Category</t>
  </si>
  <si>
    <t>SD</t>
  </si>
  <si>
    <t>D</t>
  </si>
  <si>
    <t>A</t>
  </si>
  <si>
    <t>SA</t>
  </si>
  <si>
    <t>BsVc1</t>
  </si>
  <si>
    <t>BsVc2</t>
  </si>
  <si>
    <t>BsVc3</t>
  </si>
  <si>
    <t>BVc1</t>
  </si>
  <si>
    <t>SumBV</t>
  </si>
  <si>
    <t>CDF of Base A vales</t>
  </si>
  <si>
    <t>PDF of Base A Vales</t>
  </si>
  <si>
    <t>BVc2</t>
  </si>
  <si>
    <t>CDF of Base B Vales</t>
  </si>
  <si>
    <t>BVc3</t>
  </si>
  <si>
    <t>age</t>
  </si>
  <si>
    <t>Plotter</t>
  </si>
  <si>
    <t>Porder</t>
  </si>
  <si>
    <t>PBsV</t>
  </si>
  <si>
    <t>CDF for Plotter Values</t>
  </si>
  <si>
    <t>Change</t>
  </si>
  <si>
    <t>0--&gt;1</t>
  </si>
  <si>
    <r>
      <t>D</t>
    </r>
    <r>
      <rPr>
        <i/>
        <sz val="8"/>
        <rFont val="Arial"/>
        <family val="0"/>
      </rPr>
      <t xml:space="preserve"> Range</t>
    </r>
  </si>
  <si>
    <r>
      <t>D</t>
    </r>
    <r>
      <rPr>
        <i/>
        <sz val="8"/>
        <rFont val="Arial"/>
        <family val="0"/>
      </rPr>
      <t xml:space="preserve"> 1</t>
    </r>
  </si>
  <si>
    <t>D s</t>
  </si>
  <si>
    <t>Notes</t>
  </si>
  <si>
    <t xml:space="preserve">    1.  Enter all of your information in the light green cells, such as this: </t>
  </si>
  <si>
    <t>Indep</t>
  </si>
  <si>
    <t>Std.</t>
  </si>
  <si>
    <t>Dev.</t>
  </si>
  <si>
    <r>
      <t xml:space="preserve">Y = </t>
    </r>
    <r>
      <rPr>
        <i/>
        <sz val="10"/>
        <rFont val="Arial"/>
        <family val="2"/>
      </rPr>
      <t>k</t>
    </r>
  </si>
  <si>
    <t>Table 1.  Predicted and Cumulative Probability</t>
  </si>
  <si>
    <t>Basic Predicted Probability</t>
  </si>
  <si>
    <t xml:space="preserve">With other variables held at their base values, </t>
  </si>
  <si>
    <t>vary the following variables and calculate the predicted probabilities at the specified values.</t>
  </si>
  <si>
    <t>Predicted Probability</t>
  </si>
  <si>
    <t>1.</t>
  </si>
  <si>
    <t>2.</t>
  </si>
  <si>
    <t>3.</t>
  </si>
  <si>
    <t>Cumulative Probability</t>
  </si>
  <si>
    <t>Table 2.  Base Values</t>
  </si>
  <si>
    <t>Vars</t>
  </si>
  <si>
    <t>Yr89</t>
  </si>
  <si>
    <t xml:space="preserve">   With other variable at the base, vary this variable.</t>
  </si>
  <si>
    <t xml:space="preserve">   Enter the start value for the x-axis.</t>
  </si>
  <si>
    <t xml:space="preserve">   Enter end value for the x-axis.</t>
  </si>
  <si>
    <t xml:space="preserve">   2 to 20 points allowed</t>
  </si>
  <si>
    <t>Figure 1.  Predicted Probabilities</t>
  </si>
  <si>
    <t>Figure 2.  Cumulative Probabilities</t>
  </si>
  <si>
    <t>Table 2.  Sources of Plot</t>
  </si>
  <si>
    <t>x-value</t>
  </si>
  <si>
    <t>Discrete Change</t>
  </si>
  <si>
    <r>
      <t xml:space="preserve">Average </t>
    </r>
    <r>
      <rPr>
        <i/>
        <sz val="10"/>
        <rFont val="Symbol"/>
        <family val="1"/>
      </rPr>
      <t>D</t>
    </r>
  </si>
  <si>
    <t>PDF of Base B Vales</t>
  </si>
  <si>
    <t>CDF of Base C Vales</t>
  </si>
  <si>
    <t>PDF of Base C Vales</t>
  </si>
  <si>
    <t>PDF  -- 0 to 1</t>
  </si>
  <si>
    <t>PDF-- Min to Max</t>
  </si>
  <si>
    <t>PDF -- +/- 0.5</t>
  </si>
  <si>
    <t>PDF -- +/- 0.5 STD</t>
  </si>
  <si>
    <t>Dis</t>
  </si>
  <si>
    <t>BPch</t>
  </si>
  <si>
    <t>Table 1.  Discrete Change</t>
  </si>
  <si>
    <t>Generalized Ordered Logit</t>
  </si>
  <si>
    <r>
      <t xml:space="preserve">    2.  Press  &lt;</t>
    </r>
    <r>
      <rPr>
        <b/>
        <i/>
        <sz val="10"/>
        <color indexed="8"/>
        <rFont val="Arial"/>
        <family val="2"/>
      </rPr>
      <t>Ctrl+Shift+p</t>
    </r>
    <r>
      <rPr>
        <sz val="10"/>
        <color indexed="8"/>
        <rFont val="Arial"/>
        <family val="2"/>
      </rPr>
      <t>&gt; to see the XPost pull-down menu (</t>
    </r>
    <r>
      <rPr>
        <i/>
        <sz val="10"/>
        <color indexed="8"/>
        <rFont val="Arial"/>
        <family val="2"/>
      </rPr>
      <t>Optional</t>
    </r>
    <r>
      <rPr>
        <sz val="10"/>
        <color indexed="8"/>
        <rFont val="Arial"/>
        <family val="2"/>
      </rPr>
      <t>).</t>
    </r>
  </si>
  <si>
    <t>Do not add or delete any rows or columns.</t>
  </si>
  <si>
    <r>
      <t xml:space="preserve">    3.  For statistical interpretations of generalized ordered logit, see </t>
    </r>
    <r>
      <rPr>
        <i/>
        <u val="single"/>
        <sz val="10"/>
        <color indexed="12"/>
        <rFont val="Arial"/>
        <family val="2"/>
      </rPr>
      <t>http://www.bol.ucla.edu/~vfu/gologitfaq.html</t>
    </r>
  </si>
  <si>
    <r>
      <t xml:space="preserve">Table 1.  Descriptive Statistics for Y - </t>
    </r>
    <r>
      <rPr>
        <i/>
        <sz val="10"/>
        <rFont val="Arial"/>
        <family val="2"/>
      </rPr>
      <t>optional</t>
    </r>
    <r>
      <rPr>
        <b/>
        <sz val="10"/>
        <rFont val="Arial"/>
        <family val="2"/>
      </rPr>
      <t xml:space="preserve"> -</t>
    </r>
  </si>
  <si>
    <t>Table 3.  Descriptive Statistics, Variable Types, and Base Values</t>
  </si>
  <si>
    <t>Table 4.  Estimates of Logit Coefficients</t>
  </si>
  <si>
    <t>B</t>
  </si>
  <si>
    <t>C</t>
  </si>
  <si>
    <t>M</t>
  </si>
  <si>
    <t>Logit  Equation</t>
  </si>
  <si>
    <t>Var</t>
  </si>
  <si>
    <t xml:space="preserve">Enter all of your information in the light green cells, such as this: </t>
  </si>
  <si>
    <t>Predicted probabilities are given for base values shown in Table 2.  Note base values can only be changed in the Input sheet.</t>
  </si>
  <si>
    <t>In the green cells you can choose three variables and specify up to five values for that variable.  Predicted probabilities are</t>
  </si>
  <si>
    <t>computed at these values with other values equal to the base values in Table 2.</t>
  </si>
  <si>
    <t xml:space="preserve">       All Variables</t>
  </si>
  <si>
    <t xml:space="preserve">              Held at</t>
  </si>
  <si>
    <t xml:space="preserve">  X-variable to vary</t>
  </si>
  <si>
    <t xml:space="preserve">  Start Value </t>
  </si>
  <si>
    <t xml:space="preserve">  End Value</t>
  </si>
  <si>
    <t xml:space="preserve">  # of Points</t>
  </si>
  <si>
    <t>Table 1. Specification of x-variable.</t>
  </si>
  <si>
    <t xml:space="preserve">     1.</t>
  </si>
  <si>
    <t xml:space="preserve">     2.</t>
  </si>
  <si>
    <t xml:space="preserve">    2.  Enter information in Table 1 about your graph. Note you can edit the graph as with any Excel chart.</t>
  </si>
  <si>
    <t>This page computes discrete change using the base values specified on the Input sheet; these values are shown</t>
  </si>
  <si>
    <t>on Table 2 below, but can only be changed on the Input sheet.  There is nothing you can change on this page.</t>
  </si>
  <si>
    <t>b</t>
  </si>
  <si>
    <t>e^b</t>
  </si>
  <si>
    <t>e^(b*std)</t>
  </si>
  <si>
    <t>Equation 1</t>
  </si>
  <si>
    <t>Equation 2</t>
  </si>
  <si>
    <t>Equation 3</t>
  </si>
  <si>
    <t>Equation 4</t>
  </si>
  <si>
    <t>Equation 5</t>
  </si>
  <si>
    <t>Equation 6</t>
  </si>
  <si>
    <t>Equation 7</t>
  </si>
  <si>
    <t>Equation 8</t>
  </si>
  <si>
    <t>Equation 9</t>
  </si>
  <si>
    <t>Table 2.  Factor Change</t>
  </si>
  <si>
    <t>Table 3.  Base Values</t>
  </si>
  <si>
    <t>Table 2.  Category Names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</si>
</sst>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0.000000000000000"/>
    <numFmt numFmtId="170" formatCode="0.0000000000000"/>
    <numFmt numFmtId="171" formatCode="0.0000000"/>
  </numFmts>
  <fonts count="40">
    <font>
      <sz val="10"/>
      <name val="Arial"/>
      <family val="0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19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color indexed="18"/>
      <name val="Arial"/>
      <family val="2"/>
    </font>
    <font>
      <b/>
      <i/>
      <sz val="9"/>
      <color indexed="63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sz val="8"/>
      <color indexed="19"/>
      <name val="Arial"/>
      <family val="2"/>
    </font>
    <font>
      <sz val="9.75"/>
      <name val="Times New Roman"/>
      <family val="1"/>
    </font>
    <font>
      <sz val="11.75"/>
      <name val="Arial"/>
      <family val="0"/>
    </font>
    <font>
      <sz val="9.5"/>
      <name val="Times New Roman"/>
      <family val="1"/>
    </font>
    <font>
      <sz val="11.75"/>
      <name val="Times New Roman"/>
      <family val="1"/>
    </font>
    <font>
      <sz val="11.5"/>
      <name val="Times New Roman"/>
      <family val="1"/>
    </font>
    <font>
      <sz val="10.75"/>
      <name val="Arial"/>
      <family val="0"/>
    </font>
    <font>
      <sz val="11.5"/>
      <name val="Arial"/>
      <family val="2"/>
    </font>
    <font>
      <sz val="8"/>
      <color indexed="10"/>
      <name val="Arial"/>
      <family val="2"/>
    </font>
    <font>
      <i/>
      <sz val="8"/>
      <name val="Arial"/>
      <family val="0"/>
    </font>
    <font>
      <i/>
      <sz val="8"/>
      <name val="Symbol"/>
      <family val="1"/>
    </font>
    <font>
      <sz val="10"/>
      <color indexed="9"/>
      <name val="Arial"/>
      <family val="2"/>
    </font>
    <font>
      <b/>
      <i/>
      <sz val="14"/>
      <color indexed="8"/>
      <name val="Arial"/>
      <family val="2"/>
    </font>
    <font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4"/>
      <name val="Arial"/>
      <family val="2"/>
    </font>
    <font>
      <i/>
      <u val="single"/>
      <sz val="10"/>
      <name val="Arial"/>
      <family val="2"/>
    </font>
    <font>
      <i/>
      <sz val="10"/>
      <name val="Symbol"/>
      <family val="1"/>
    </font>
    <font>
      <i/>
      <u val="single"/>
      <sz val="10"/>
      <color indexed="12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mediumDashDot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/>
      <protection locked="0"/>
    </xf>
    <xf numFmtId="165" fontId="6" fillId="0" borderId="0" xfId="0" applyNumberFormat="1" applyFont="1" applyAlignment="1">
      <alignment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4" fillId="0" borderId="0" xfId="0" applyFont="1" applyAlignment="1">
      <alignment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Border="1" applyAlignment="1">
      <alignment horizontal="left"/>
    </xf>
    <xf numFmtId="165" fontId="6" fillId="0" borderId="1" xfId="0" applyNumberFormat="1" applyFont="1" applyBorder="1" applyAlignment="1">
      <alignment horizontal="left"/>
    </xf>
    <xf numFmtId="165" fontId="6" fillId="0" borderId="1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166" fontId="6" fillId="0" borderId="0" xfId="0" applyNumberFormat="1" applyFont="1" applyAlignment="1">
      <alignment/>
    </xf>
    <xf numFmtId="166" fontId="6" fillId="0" borderId="0" xfId="0" applyNumberFormat="1" applyFont="1" applyBorder="1" applyAlignment="1">
      <alignment/>
    </xf>
    <xf numFmtId="166" fontId="6" fillId="0" borderId="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6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166" fontId="6" fillId="0" borderId="3" xfId="0" applyNumberFormat="1" applyFont="1" applyBorder="1" applyAlignment="1">
      <alignment/>
    </xf>
    <xf numFmtId="166" fontId="6" fillId="0" borderId="4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26" fillId="3" borderId="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0" fillId="3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8" fillId="0" borderId="1" xfId="0" applyFont="1" applyFill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 quotePrefix="1">
      <alignment/>
      <protection locked="0"/>
    </xf>
    <xf numFmtId="166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9" fillId="0" borderId="1" xfId="0" applyFont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 quotePrefix="1">
      <alignment horizontal="center"/>
      <protection locked="0"/>
    </xf>
    <xf numFmtId="0" fontId="13" fillId="2" borderId="10" xfId="0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2" fontId="2" fillId="2" borderId="19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166" fontId="2" fillId="2" borderId="0" xfId="0" applyNumberFormat="1" applyFont="1" applyFill="1" applyBorder="1" applyAlignment="1" applyProtection="1">
      <alignment horizontal="right"/>
      <protection locked="0"/>
    </xf>
    <xf numFmtId="166" fontId="2" fillId="2" borderId="0" xfId="0" applyNumberFormat="1" applyFont="1" applyFill="1" applyBorder="1" applyAlignment="1" applyProtection="1">
      <alignment/>
      <protection locked="0"/>
    </xf>
    <xf numFmtId="166" fontId="2" fillId="2" borderId="1" xfId="0" applyNumberFormat="1" applyFont="1" applyFill="1" applyBorder="1" applyAlignment="1" applyProtection="1">
      <alignment horizontal="right"/>
      <protection locked="0"/>
    </xf>
    <xf numFmtId="165" fontId="2" fillId="2" borderId="0" xfId="0" applyNumberFormat="1" applyFont="1" applyFill="1" applyBorder="1" applyAlignment="1" applyProtection="1">
      <alignment/>
      <protection locked="0"/>
    </xf>
    <xf numFmtId="165" fontId="2" fillId="2" borderId="1" xfId="0" applyNumberFormat="1" applyFont="1" applyFill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28" fillId="0" borderId="0" xfId="0" applyFont="1" applyFill="1" applyBorder="1" applyAlignment="1" applyProtection="1" quotePrefix="1">
      <alignment horizontal="center"/>
      <protection locked="0"/>
    </xf>
    <xf numFmtId="0" fontId="28" fillId="0" borderId="0" xfId="0" applyFont="1" applyBorder="1" applyAlignment="1" applyProtection="1" quotePrefix="1">
      <alignment horizontal="center"/>
      <protection locked="0"/>
    </xf>
    <xf numFmtId="0" fontId="0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 quotePrefix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23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25" fillId="0" borderId="0" xfId="0" applyFont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/>
      <protection locked="0"/>
    </xf>
    <xf numFmtId="0" fontId="0" fillId="0" borderId="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24" xfId="0" applyFont="1" applyBorder="1" applyAlignment="1" applyProtection="1">
      <alignment horizontal="right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right"/>
      <protection locked="0"/>
    </xf>
    <xf numFmtId="166" fontId="5" fillId="0" borderId="28" xfId="0" applyNumberFormat="1" applyFont="1" applyBorder="1" applyAlignment="1" applyProtection="1">
      <alignment/>
      <protection locked="0"/>
    </xf>
    <xf numFmtId="166" fontId="5" fillId="0" borderId="0" xfId="0" applyNumberFormat="1" applyFont="1" applyBorder="1" applyAlignment="1" applyProtection="1">
      <alignment/>
      <protection locked="0"/>
    </xf>
    <xf numFmtId="166" fontId="5" fillId="0" borderId="3" xfId="0" applyNumberFormat="1" applyFont="1" applyBorder="1" applyAlignment="1" applyProtection="1">
      <alignment/>
      <protection locked="0"/>
    </xf>
    <xf numFmtId="0" fontId="12" fillId="0" borderId="8" xfId="0" applyFont="1" applyBorder="1" applyAlignment="1" applyProtection="1">
      <alignment horizontal="left"/>
      <protection locked="0"/>
    </xf>
    <xf numFmtId="0" fontId="12" fillId="0" borderId="21" xfId="0" applyFont="1" applyBorder="1" applyAlignment="1" applyProtection="1">
      <alignment horizontal="left"/>
      <protection locked="0"/>
    </xf>
    <xf numFmtId="0" fontId="12" fillId="0" borderId="17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0" fillId="0" borderId="29" xfId="0" applyFont="1" applyBorder="1" applyAlignment="1" applyProtection="1">
      <alignment horizontal="right"/>
      <protection locked="0"/>
    </xf>
    <xf numFmtId="166" fontId="5" fillId="0" borderId="29" xfId="0" applyNumberFormat="1" applyFont="1" applyBorder="1" applyAlignment="1" applyProtection="1">
      <alignment/>
      <protection locked="0"/>
    </xf>
    <xf numFmtId="166" fontId="5" fillId="0" borderId="1" xfId="0" applyNumberFormat="1" applyFont="1" applyBorder="1" applyAlignment="1" applyProtection="1">
      <alignment/>
      <protection locked="0"/>
    </xf>
    <xf numFmtId="166" fontId="5" fillId="0" borderId="4" xfId="0" applyNumberFormat="1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166" fontId="6" fillId="0" borderId="0" xfId="0" applyNumberFormat="1" applyFont="1" applyBorder="1" applyAlignment="1" applyProtection="1">
      <alignment horizontal="center"/>
      <protection locked="0"/>
    </xf>
    <xf numFmtId="166" fontId="6" fillId="0" borderId="3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right"/>
      <protection locked="0"/>
    </xf>
    <xf numFmtId="166" fontId="5" fillId="0" borderId="7" xfId="0" applyNumberFormat="1" applyFont="1" applyBorder="1" applyAlignment="1" applyProtection="1">
      <alignment horizontal="right"/>
      <protection locked="0"/>
    </xf>
    <xf numFmtId="166" fontId="5" fillId="0" borderId="6" xfId="0" applyNumberFormat="1" applyFont="1" applyBorder="1" applyAlignment="1" applyProtection="1">
      <alignment horizontal="right"/>
      <protection locked="0"/>
    </xf>
    <xf numFmtId="166" fontId="5" fillId="0" borderId="27" xfId="0" applyNumberFormat="1" applyFont="1" applyBorder="1" applyAlignment="1" applyProtection="1">
      <alignment horizontal="right"/>
      <protection locked="0"/>
    </xf>
    <xf numFmtId="166" fontId="5" fillId="0" borderId="9" xfId="0" applyNumberFormat="1" applyFont="1" applyBorder="1" applyAlignment="1" applyProtection="1">
      <alignment horizontal="right"/>
      <protection locked="0"/>
    </xf>
    <xf numFmtId="166" fontId="5" fillId="0" borderId="0" xfId="0" applyNumberFormat="1" applyFont="1" applyBorder="1" applyAlignment="1" applyProtection="1">
      <alignment horizontal="right"/>
      <protection locked="0"/>
    </xf>
    <xf numFmtId="166" fontId="5" fillId="0" borderId="3" xfId="0" applyNumberFormat="1" applyFont="1" applyBorder="1" applyAlignment="1" applyProtection="1">
      <alignment horizontal="right"/>
      <protection locked="0"/>
    </xf>
    <xf numFmtId="166" fontId="5" fillId="0" borderId="16" xfId="0" applyNumberFormat="1" applyFont="1" applyBorder="1" applyAlignment="1" applyProtection="1">
      <alignment horizontal="right"/>
      <protection locked="0"/>
    </xf>
    <xf numFmtId="166" fontId="5" fillId="0" borderId="15" xfId="0" applyNumberFormat="1" applyFont="1" applyBorder="1" applyAlignment="1" applyProtection="1">
      <alignment horizontal="right"/>
      <protection locked="0"/>
    </xf>
    <xf numFmtId="166" fontId="5" fillId="0" borderId="30" xfId="0" applyNumberFormat="1" applyFont="1" applyBorder="1" applyAlignment="1" applyProtection="1">
      <alignment horizontal="right"/>
      <protection locked="0"/>
    </xf>
    <xf numFmtId="166" fontId="5" fillId="0" borderId="13" xfId="0" applyNumberFormat="1" applyFont="1" applyBorder="1" applyAlignment="1" applyProtection="1">
      <alignment horizontal="right"/>
      <protection locked="0"/>
    </xf>
    <xf numFmtId="166" fontId="5" fillId="0" borderId="12" xfId="0" applyNumberFormat="1" applyFont="1" applyBorder="1" applyAlignment="1" applyProtection="1">
      <alignment horizontal="right"/>
      <protection locked="0"/>
    </xf>
    <xf numFmtId="166" fontId="5" fillId="0" borderId="31" xfId="0" applyNumberFormat="1" applyFont="1" applyBorder="1" applyAlignment="1" applyProtection="1">
      <alignment horizontal="right"/>
      <protection locked="0"/>
    </xf>
    <xf numFmtId="166" fontId="5" fillId="0" borderId="18" xfId="0" applyNumberFormat="1" applyFont="1" applyBorder="1" applyAlignment="1" applyProtection="1">
      <alignment horizontal="right"/>
      <protection locked="0"/>
    </xf>
    <xf numFmtId="166" fontId="5" fillId="0" borderId="1" xfId="0" applyNumberFormat="1" applyFont="1" applyBorder="1" applyAlignment="1" applyProtection="1">
      <alignment horizontal="right"/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 locked="0"/>
    </xf>
    <xf numFmtId="0" fontId="28" fillId="0" borderId="1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 horizontal="left"/>
      <protection locked="0"/>
    </xf>
    <xf numFmtId="0" fontId="0" fillId="0" borderId="36" xfId="0" applyFont="1" applyBorder="1" applyAlignment="1" applyProtection="1">
      <alignment horizontal="left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2" fillId="2" borderId="38" xfId="0" applyFont="1" applyFill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 horizontal="left"/>
      <protection locked="0"/>
    </xf>
    <xf numFmtId="0" fontId="0" fillId="0" borderId="43" xfId="0" applyFont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0" fontId="0" fillId="0" borderId="45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 horizontal="center"/>
      <protection locked="0"/>
    </xf>
    <xf numFmtId="0" fontId="2" fillId="2" borderId="50" xfId="0" applyFont="1" applyFill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/>
      <protection locked="0"/>
    </xf>
    <xf numFmtId="2" fontId="5" fillId="0" borderId="0" xfId="0" applyNumberFormat="1" applyFont="1" applyAlignment="1" applyProtection="1">
      <alignment horizontal="center"/>
      <protection locked="0"/>
    </xf>
    <xf numFmtId="166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26" fillId="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left"/>
      <protection/>
    </xf>
    <xf numFmtId="0" fontId="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0" fillId="0" borderId="2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8" fillId="0" borderId="2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3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 quotePrefix="1">
      <alignment horizontal="right"/>
      <protection/>
    </xf>
    <xf numFmtId="0" fontId="0" fillId="0" borderId="2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32" fillId="0" borderId="52" xfId="0" applyFont="1" applyBorder="1" applyAlignment="1" applyProtection="1">
      <alignment horizontal="left"/>
      <protection/>
    </xf>
    <xf numFmtId="0" fontId="0" fillId="0" borderId="52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0" fillId="0" borderId="19" xfId="0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0" borderId="53" xfId="0" applyBorder="1" applyAlignment="1" applyProtection="1">
      <alignment/>
      <protection locked="0"/>
    </xf>
    <xf numFmtId="0" fontId="0" fillId="0" borderId="54" xfId="0" applyBorder="1" applyAlignment="1" applyProtection="1">
      <alignment/>
      <protection locked="0"/>
    </xf>
    <xf numFmtId="0" fontId="4" fillId="0" borderId="53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0965"/>
          <c:w val="0.798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Plotter!$Z$14</c:f>
              <c:strCache>
                <c:ptCount val="1"/>
                <c:pt idx="0">
                  <c:v>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Plotter!$Z$16:$Z$25</c:f>
              <c:numCache>
                <c:ptCount val="10"/>
                <c:pt idx="0">
                  <c:v>0.06514659065772999</c:v>
                </c:pt>
                <c:pt idx="1">
                  <c:v>0.07210741483640348</c:v>
                </c:pt>
                <c:pt idx="2">
                  <c:v>0.07974854688600885</c:v>
                </c:pt>
                <c:pt idx="3">
                  <c:v>0.0881225003970777</c:v>
                </c:pt>
                <c:pt idx="4">
                  <c:v>0.09728280246245313</c:v>
                </c:pt>
                <c:pt idx="5">
                  <c:v>0.10728328616161975</c:v>
                </c:pt>
                <c:pt idx="6">
                  <c:v>0.11817721790644287</c:v>
                </c:pt>
                <c:pt idx="7">
                  <c:v>0.13001624924624455</c:v>
                </c:pt>
                <c:pt idx="8">
                  <c:v>0.1428491885798181</c:v>
                </c:pt>
                <c:pt idx="9">
                  <c:v>0.15672059634267188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Plotter!$AA$14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Plotter!$AA$16:$AA$25</c:f>
              <c:numCache>
                <c:ptCount val="10"/>
                <c:pt idx="0">
                  <c:v>0.1822772032232567</c:v>
                </c:pt>
                <c:pt idx="1">
                  <c:v>0.20760465204599043</c:v>
                </c:pt>
                <c:pt idx="2">
                  <c:v>0.23470477086763009</c:v>
                </c:pt>
                <c:pt idx="3">
                  <c:v>0.26328191829009406</c:v>
                </c:pt>
                <c:pt idx="4">
                  <c:v>0.29294320719426936</c:v>
                </c:pt>
                <c:pt idx="5">
                  <c:v>0.32320653802030697</c:v>
                </c:pt>
                <c:pt idx="6">
                  <c:v>0.35351717085088274</c:v>
                </c:pt>
                <c:pt idx="7">
                  <c:v>0.3832720464354517</c:v>
                </c:pt>
                <c:pt idx="8">
                  <c:v>0.41184977915737364</c:v>
                </c:pt>
                <c:pt idx="9">
                  <c:v>0.4386432310105201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Plotter!$AB$14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Plotter!$AB$16:$AB$25</c:f>
              <c:numCache>
                <c:ptCount val="10"/>
                <c:pt idx="0">
                  <c:v>0.48589727194010857</c:v>
                </c:pt>
                <c:pt idx="1">
                  <c:v>0.4772580774043855</c:v>
                </c:pt>
                <c:pt idx="2">
                  <c:v>0.46470029646290834</c:v>
                </c:pt>
                <c:pt idx="3">
                  <c:v>0.44844318897367275</c:v>
                </c:pt>
                <c:pt idx="4">
                  <c:v>0.42882682586750065</c:v>
                </c:pt>
                <c:pt idx="5">
                  <c:v>0.4063014623100808</c:v>
                </c:pt>
                <c:pt idx="6">
                  <c:v>0.38140830439065193</c:v>
                </c:pt>
                <c:pt idx="7">
                  <c:v>0.35475268530864346</c:v>
                </c:pt>
                <c:pt idx="8">
                  <c:v>0.3269719026402201</c:v>
                </c:pt>
                <c:pt idx="9">
                  <c:v>0.2987009263943462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Plotter!$AC$14</c:f>
              <c:strCache>
                <c:ptCount val="1"/>
                <c:pt idx="0">
                  <c:v>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Plotter!$AC$16:$AC$25</c:f>
              <c:numCache>
                <c:ptCount val="10"/>
                <c:pt idx="0">
                  <c:v>0.26667893417890476</c:v>
                </c:pt>
                <c:pt idx="1">
                  <c:v>0.2430298557132206</c:v>
                </c:pt>
                <c:pt idx="2">
                  <c:v>0.2208463857834527</c:v>
                </c:pt>
                <c:pt idx="3">
                  <c:v>0.20015239233915547</c:v>
                </c:pt>
                <c:pt idx="4">
                  <c:v>0.18094716447577688</c:v>
                </c:pt>
                <c:pt idx="5">
                  <c:v>0.16320871350799246</c:v>
                </c:pt>
                <c:pt idx="6">
                  <c:v>0.14689730685202246</c:v>
                </c:pt>
                <c:pt idx="7">
                  <c:v>0.1319590190096603</c:v>
                </c:pt>
                <c:pt idx="8">
                  <c:v>0.11832912962258817</c:v>
                </c:pt>
                <c:pt idx="9">
                  <c:v>0.10593524625246184</c:v>
                </c:pt>
              </c:numCache>
            </c:numRef>
          </c:val>
          <c:smooth val="0"/>
        </c:ser>
        <c:marker val="1"/>
        <c:axId val="49435303"/>
        <c:axId val="42264544"/>
      </c:lineChart>
      <c:catAx>
        <c:axId val="49435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2264544"/>
        <c:crosses val="autoZero"/>
        <c:auto val="1"/>
        <c:lblOffset val="100"/>
        <c:noMultiLvlLbl val="0"/>
      </c:catAx>
      <c:valAx>
        <c:axId val="42264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Prediected Probability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9435303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/>
        </a:ln>
      </c:spPr>
    </c:plotArea>
    <c:legend>
      <c:legendPos val="t"/>
      <c:layout>
        <c:manualLayout>
          <c:xMode val="edge"/>
          <c:yMode val="edge"/>
          <c:x val="0.3185"/>
          <c:y val="0.016"/>
        </c:manualLayout>
      </c:layout>
      <c:overlay val="0"/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0375"/>
          <c:w val="0.8475"/>
          <c:h val="0.802"/>
        </c:manualLayout>
      </c:layout>
      <c:lineChart>
        <c:grouping val="percentStacked"/>
        <c:varyColors val="0"/>
        <c:ser>
          <c:idx val="0"/>
          <c:order val="0"/>
          <c:tx>
            <c:strRef>
              <c:f>Plotter!$Z$14</c:f>
              <c:strCache>
                <c:ptCount val="1"/>
                <c:pt idx="0">
                  <c:v>SD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Plotter!$Z$16:$Z$25</c:f>
              <c:numCache>
                <c:ptCount val="10"/>
                <c:pt idx="0">
                  <c:v>0.06514659065772999</c:v>
                </c:pt>
                <c:pt idx="1">
                  <c:v>0.07210741483640348</c:v>
                </c:pt>
                <c:pt idx="2">
                  <c:v>0.07974854688600885</c:v>
                </c:pt>
                <c:pt idx="3">
                  <c:v>0.0881225003970777</c:v>
                </c:pt>
                <c:pt idx="4">
                  <c:v>0.09728280246245313</c:v>
                </c:pt>
                <c:pt idx="5">
                  <c:v>0.10728328616161975</c:v>
                </c:pt>
                <c:pt idx="6">
                  <c:v>0.11817721790644287</c:v>
                </c:pt>
                <c:pt idx="7">
                  <c:v>0.13001624924624455</c:v>
                </c:pt>
                <c:pt idx="8">
                  <c:v>0.1428491885798181</c:v>
                </c:pt>
                <c:pt idx="9">
                  <c:v>0.15672059634267188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Plotter!$AA$14</c:f>
              <c:strCache>
                <c:ptCount val="1"/>
                <c:pt idx="0">
                  <c:v>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Plotter!$AA$16:$AA$25</c:f>
              <c:numCache>
                <c:ptCount val="10"/>
                <c:pt idx="0">
                  <c:v>0.1822772032232567</c:v>
                </c:pt>
                <c:pt idx="1">
                  <c:v>0.20760465204599043</c:v>
                </c:pt>
                <c:pt idx="2">
                  <c:v>0.23470477086763009</c:v>
                </c:pt>
                <c:pt idx="3">
                  <c:v>0.26328191829009406</c:v>
                </c:pt>
                <c:pt idx="4">
                  <c:v>0.29294320719426936</c:v>
                </c:pt>
                <c:pt idx="5">
                  <c:v>0.32320653802030697</c:v>
                </c:pt>
                <c:pt idx="6">
                  <c:v>0.35351717085088274</c:v>
                </c:pt>
                <c:pt idx="7">
                  <c:v>0.3832720464354517</c:v>
                </c:pt>
                <c:pt idx="8">
                  <c:v>0.41184977915737364</c:v>
                </c:pt>
                <c:pt idx="9">
                  <c:v>0.4386432310105201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Plotter!$AB$14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Plotter!$AB$16:$AB$25</c:f>
              <c:numCache>
                <c:ptCount val="10"/>
                <c:pt idx="0">
                  <c:v>0.48589727194010857</c:v>
                </c:pt>
                <c:pt idx="1">
                  <c:v>0.4772580774043855</c:v>
                </c:pt>
                <c:pt idx="2">
                  <c:v>0.46470029646290834</c:v>
                </c:pt>
                <c:pt idx="3">
                  <c:v>0.44844318897367275</c:v>
                </c:pt>
                <c:pt idx="4">
                  <c:v>0.42882682586750065</c:v>
                </c:pt>
                <c:pt idx="5">
                  <c:v>0.4063014623100808</c:v>
                </c:pt>
                <c:pt idx="6">
                  <c:v>0.38140830439065193</c:v>
                </c:pt>
                <c:pt idx="7">
                  <c:v>0.35475268530864346</c:v>
                </c:pt>
                <c:pt idx="8">
                  <c:v>0.3269719026402201</c:v>
                </c:pt>
                <c:pt idx="9">
                  <c:v>0.2987009263943462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Plotter!$AC$14</c:f>
              <c:strCache>
                <c:ptCount val="1"/>
                <c:pt idx="0">
                  <c:v>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Plotter!$Y$16:$Y$25</c:f>
              <c:numCache>
                <c:ptCount val="10"/>
                <c:pt idx="0">
                  <c:v>10</c:v>
                </c:pt>
                <c:pt idx="1">
                  <c:v>16.666666666666668</c:v>
                </c:pt>
                <c:pt idx="2">
                  <c:v>23.333333333333336</c:v>
                </c:pt>
                <c:pt idx="3">
                  <c:v>30.000000000000004</c:v>
                </c:pt>
                <c:pt idx="4">
                  <c:v>36.66666666666667</c:v>
                </c:pt>
                <c:pt idx="5">
                  <c:v>43.333333333333336</c:v>
                </c:pt>
                <c:pt idx="6">
                  <c:v>50</c:v>
                </c:pt>
                <c:pt idx="7">
                  <c:v>56.666666666666664</c:v>
                </c:pt>
                <c:pt idx="8">
                  <c:v>63.33333333333333</c:v>
                </c:pt>
                <c:pt idx="9">
                  <c:v>70</c:v>
                </c:pt>
              </c:numCache>
            </c:numRef>
          </c:cat>
          <c:val>
            <c:numRef>
              <c:f>Plotter!$AC$16:$AC$25</c:f>
              <c:numCache>
                <c:ptCount val="10"/>
                <c:pt idx="0">
                  <c:v>0.26667893417890476</c:v>
                </c:pt>
                <c:pt idx="1">
                  <c:v>0.2430298557132206</c:v>
                </c:pt>
                <c:pt idx="2">
                  <c:v>0.2208463857834527</c:v>
                </c:pt>
                <c:pt idx="3">
                  <c:v>0.20015239233915547</c:v>
                </c:pt>
                <c:pt idx="4">
                  <c:v>0.18094716447577688</c:v>
                </c:pt>
                <c:pt idx="5">
                  <c:v>0.16320871350799246</c:v>
                </c:pt>
                <c:pt idx="6">
                  <c:v>0.14689730685202246</c:v>
                </c:pt>
                <c:pt idx="7">
                  <c:v>0.1319590190096603</c:v>
                </c:pt>
                <c:pt idx="8">
                  <c:v>0.11832912962258817</c:v>
                </c:pt>
                <c:pt idx="9">
                  <c:v>0.10593524625246184</c:v>
                </c:pt>
              </c:numCache>
            </c:numRef>
          </c:val>
          <c:smooth val="0"/>
        </c:ser>
        <c:marker val="1"/>
        <c:axId val="44836577"/>
        <c:axId val="876010"/>
      </c:lineChart>
      <c:catAx>
        <c:axId val="4483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76010"/>
        <c:crosses val="autoZero"/>
        <c:auto val="1"/>
        <c:lblOffset val="100"/>
        <c:noMultiLvlLbl val="0"/>
      </c:catAx>
      <c:valAx>
        <c:axId val="876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Cumulative 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4836577"/>
        <c:crossesAt val="1"/>
        <c:crossBetween val="between"/>
        <c:dispUnits/>
        <c:minorUnit val="0.02"/>
      </c:valAx>
      <c:spPr>
        <a:solidFill>
          <a:srgbClr val="FFFFFF"/>
        </a:solidFill>
        <a:ln w="12700">
          <a:solidFill/>
        </a:ln>
      </c:spPr>
    </c:plotArea>
    <c:legend>
      <c:legendPos val="t"/>
      <c:layout>
        <c:manualLayout>
          <c:xMode val="edge"/>
          <c:yMode val="edge"/>
          <c:x val="0.3725"/>
          <c:y val="0.008"/>
        </c:manualLayout>
      </c:layout>
      <c:overlay val="0"/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9525</xdr:rowOff>
    </xdr:from>
    <xdr:to>
      <xdr:col>9</xdr:col>
      <xdr:colOff>590550</xdr:colOff>
      <xdr:row>35</xdr:row>
      <xdr:rowOff>152400</xdr:rowOff>
    </xdr:to>
    <xdr:graphicFrame>
      <xdr:nvGraphicFramePr>
        <xdr:cNvPr id="1" name="Chart 8"/>
        <xdr:cNvGraphicFramePr/>
      </xdr:nvGraphicFramePr>
      <xdr:xfrm>
        <a:off x="180975" y="2647950"/>
        <a:ext cx="54578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12</xdr:row>
      <xdr:rowOff>9525</xdr:rowOff>
    </xdr:from>
    <xdr:to>
      <xdr:col>19</xdr:col>
      <xdr:colOff>581025</xdr:colOff>
      <xdr:row>36</xdr:row>
      <xdr:rowOff>0</xdr:rowOff>
    </xdr:to>
    <xdr:graphicFrame>
      <xdr:nvGraphicFramePr>
        <xdr:cNvPr id="2" name="Chart 9"/>
        <xdr:cNvGraphicFramePr/>
      </xdr:nvGraphicFramePr>
      <xdr:xfrm>
        <a:off x="6267450" y="2647950"/>
        <a:ext cx="54578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83"/>
  <sheetViews>
    <sheetView showGridLines="0" tabSelected="1" zoomScale="95" zoomScaleNormal="95" workbookViewId="0" topLeftCell="A1">
      <selection activeCell="B9" sqref="B9"/>
    </sheetView>
  </sheetViews>
  <sheetFormatPr defaultColWidth="9.140625" defaultRowHeight="12.75"/>
  <cols>
    <col min="1" max="1" width="2.7109375" style="40" customWidth="1"/>
    <col min="2" max="8" width="9.140625" style="40" customWidth="1"/>
    <col min="9" max="9" width="0" style="40" hidden="1" customWidth="1"/>
    <col min="10" max="17" width="9.140625" style="40" customWidth="1"/>
    <col min="18" max="18" width="9.140625" style="44" customWidth="1"/>
    <col min="19" max="16384" width="9.140625" style="40" customWidth="1"/>
  </cols>
  <sheetData>
    <row r="1" spans="2:16" ht="21.75" customHeight="1">
      <c r="B1" s="216" t="s">
        <v>97</v>
      </c>
      <c r="C1" s="217"/>
      <c r="D1" s="217"/>
      <c r="E1" s="218"/>
      <c r="F1" s="217"/>
      <c r="G1" s="219" t="s">
        <v>99</v>
      </c>
      <c r="H1" s="220"/>
      <c r="I1" s="217"/>
      <c r="J1" s="217"/>
      <c r="K1" s="217"/>
      <c r="L1" s="217"/>
      <c r="M1" s="218"/>
      <c r="N1" s="42"/>
      <c r="O1" s="42"/>
      <c r="P1" s="42"/>
    </row>
    <row r="2" spans="2:16" ht="18" customHeight="1">
      <c r="B2" s="221" t="s">
        <v>59</v>
      </c>
      <c r="C2" s="222"/>
      <c r="D2" s="222"/>
      <c r="E2" s="222"/>
      <c r="F2" s="222"/>
      <c r="G2" s="222"/>
      <c r="H2" s="217"/>
      <c r="I2" s="223"/>
      <c r="J2" s="222"/>
      <c r="K2" s="217"/>
      <c r="L2" s="217"/>
      <c r="M2" s="218"/>
      <c r="N2" s="42"/>
      <c r="O2" s="42"/>
      <c r="P2" s="42"/>
    </row>
    <row r="3" spans="2:16" ht="15" customHeight="1">
      <c r="B3" s="224" t="s">
        <v>60</v>
      </c>
      <c r="C3" s="225"/>
      <c r="D3" s="226"/>
      <c r="E3" s="227"/>
      <c r="F3" s="225"/>
      <c r="G3" s="225"/>
      <c r="H3" s="228"/>
      <c r="I3" s="220"/>
      <c r="J3" s="229"/>
      <c r="K3" s="217"/>
      <c r="L3" s="217"/>
      <c r="M3" s="218"/>
      <c r="N3" s="42"/>
      <c r="O3" s="42"/>
      <c r="P3" s="42"/>
    </row>
    <row r="4" spans="2:13" ht="15" customHeight="1">
      <c r="B4" s="230" t="s">
        <v>98</v>
      </c>
      <c r="C4" s="225"/>
      <c r="D4" s="226"/>
      <c r="E4" s="227"/>
      <c r="F4" s="225"/>
      <c r="G4" s="225"/>
      <c r="H4" s="228"/>
      <c r="I4" s="228"/>
      <c r="J4" s="228"/>
      <c r="K4" s="217"/>
      <c r="L4" s="217"/>
      <c r="M4" s="218"/>
    </row>
    <row r="5" spans="2:13" ht="15" customHeight="1">
      <c r="B5" s="231" t="s">
        <v>100</v>
      </c>
      <c r="C5" s="225"/>
      <c r="D5" s="226"/>
      <c r="E5" s="227"/>
      <c r="F5" s="225"/>
      <c r="G5" s="225"/>
      <c r="H5" s="228"/>
      <c r="I5" s="228"/>
      <c r="J5" s="228"/>
      <c r="K5" s="217"/>
      <c r="L5" s="217"/>
      <c r="M5" s="218"/>
    </row>
    <row r="6" spans="1:24" ht="15" customHeight="1">
      <c r="A6" s="50"/>
      <c r="B6" s="89"/>
      <c r="C6" s="26"/>
      <c r="D6" s="25"/>
      <c r="E6" s="51"/>
      <c r="F6" s="26"/>
      <c r="G6" s="26"/>
      <c r="H6" s="52"/>
      <c r="I6" s="52"/>
      <c r="J6" s="52"/>
      <c r="K6" s="50"/>
      <c r="L6" s="50"/>
      <c r="M6" s="53"/>
      <c r="N6" s="50"/>
      <c r="O6" s="50"/>
      <c r="P6" s="50"/>
      <c r="Q6" s="50"/>
      <c r="R6" s="53"/>
      <c r="S6" s="50"/>
      <c r="T6" s="50"/>
      <c r="U6" s="50"/>
      <c r="V6" s="50"/>
      <c r="W6" s="50"/>
      <c r="X6" s="50"/>
    </row>
    <row r="7" spans="2:21" ht="24" customHeight="1" thickBot="1">
      <c r="B7" s="232" t="s">
        <v>101</v>
      </c>
      <c r="C7" s="233"/>
      <c r="D7" s="234"/>
      <c r="E7" s="235"/>
      <c r="F7" s="233"/>
      <c r="G7" s="7"/>
      <c r="H7" s="49"/>
      <c r="I7" s="49"/>
      <c r="J7" s="49"/>
      <c r="K7" s="232" t="s">
        <v>139</v>
      </c>
      <c r="L7" s="234"/>
      <c r="M7" s="237"/>
      <c r="N7" s="234"/>
      <c r="O7" s="234"/>
      <c r="P7" s="234"/>
      <c r="Q7" s="234"/>
      <c r="R7" s="237"/>
      <c r="S7" s="234"/>
      <c r="T7" s="234"/>
      <c r="U7" s="234"/>
    </row>
    <row r="8" spans="2:24" ht="15" customHeight="1" thickTop="1">
      <c r="B8" s="218" t="s">
        <v>15</v>
      </c>
      <c r="C8" s="218" t="s">
        <v>2</v>
      </c>
      <c r="D8" s="218" t="s">
        <v>0</v>
      </c>
      <c r="E8" s="218" t="s">
        <v>17</v>
      </c>
      <c r="F8" s="236" t="s">
        <v>18</v>
      </c>
      <c r="G8" s="7"/>
      <c r="H8" s="42"/>
      <c r="I8" s="42"/>
      <c r="J8" s="42"/>
      <c r="K8" s="218" t="s">
        <v>64</v>
      </c>
      <c r="L8" s="218">
        <v>1</v>
      </c>
      <c r="M8" s="218">
        <v>2</v>
      </c>
      <c r="N8" s="218">
        <v>3</v>
      </c>
      <c r="O8" s="218">
        <v>4</v>
      </c>
      <c r="P8" s="218">
        <v>5</v>
      </c>
      <c r="Q8" s="218">
        <v>6</v>
      </c>
      <c r="R8" s="218">
        <v>7</v>
      </c>
      <c r="S8" s="218">
        <v>8</v>
      </c>
      <c r="T8" s="218">
        <v>9</v>
      </c>
      <c r="U8" s="218">
        <v>10</v>
      </c>
      <c r="V8" s="42"/>
      <c r="W8" s="42"/>
      <c r="X8" s="42"/>
    </row>
    <row r="9" spans="2:24" ht="15" customHeight="1">
      <c r="B9" s="91" t="s">
        <v>8</v>
      </c>
      <c r="C9" s="92">
        <v>2.61</v>
      </c>
      <c r="D9" s="92">
        <v>0.93</v>
      </c>
      <c r="E9" s="92">
        <v>1</v>
      </c>
      <c r="F9" s="92">
        <v>4</v>
      </c>
      <c r="G9" s="42"/>
      <c r="H9" s="42"/>
      <c r="I9" s="42"/>
      <c r="J9" s="42"/>
      <c r="K9" s="249" t="s">
        <v>34</v>
      </c>
      <c r="L9" s="93" t="s">
        <v>35</v>
      </c>
      <c r="M9" s="93" t="s">
        <v>36</v>
      </c>
      <c r="N9" s="93" t="s">
        <v>37</v>
      </c>
      <c r="O9" s="93" t="s">
        <v>38</v>
      </c>
      <c r="P9" s="93"/>
      <c r="Q9" s="93"/>
      <c r="R9" s="93"/>
      <c r="S9" s="93"/>
      <c r="T9" s="93"/>
      <c r="U9" s="93"/>
      <c r="V9" s="42"/>
      <c r="W9" s="42"/>
      <c r="X9" s="42"/>
    </row>
    <row r="10" spans="2:13" ht="15" customHeight="1" hidden="1">
      <c r="B10" s="6"/>
      <c r="C10" s="7"/>
      <c r="M10" s="43"/>
    </row>
    <row r="11" spans="1:29" ht="15" customHeight="1">
      <c r="A11" s="42"/>
      <c r="B11" s="6"/>
      <c r="C11" s="7"/>
      <c r="D11" s="24"/>
      <c r="E11" s="48"/>
      <c r="F11" s="7"/>
      <c r="G11" s="7"/>
      <c r="H11" s="49"/>
      <c r="I11" s="49"/>
      <c r="J11" s="49"/>
      <c r="K11" s="42"/>
      <c r="L11" s="42"/>
      <c r="M11" s="43"/>
      <c r="N11" s="42"/>
      <c r="O11" s="42"/>
      <c r="P11" s="42"/>
      <c r="Q11" s="42"/>
      <c r="R11" s="43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2:20" ht="24" customHeight="1" thickBot="1">
      <c r="B12" s="238" t="s">
        <v>102</v>
      </c>
      <c r="C12" s="239"/>
      <c r="D12" s="239"/>
      <c r="E12" s="239"/>
      <c r="F12" s="239"/>
      <c r="G12" s="239"/>
      <c r="H12" s="239"/>
      <c r="I12" s="42"/>
      <c r="J12" s="42"/>
      <c r="K12" s="238" t="s">
        <v>103</v>
      </c>
      <c r="L12" s="220"/>
      <c r="M12" s="239"/>
      <c r="N12" s="239"/>
      <c r="O12" s="239"/>
      <c r="P12" s="239"/>
      <c r="Q12" s="220"/>
      <c r="R12" s="243"/>
      <c r="S12" s="239"/>
      <c r="T12" s="220"/>
    </row>
    <row r="13" spans="2:20" ht="13.5" thickTop="1">
      <c r="B13" s="240" t="s">
        <v>61</v>
      </c>
      <c r="C13" s="240"/>
      <c r="D13" s="240" t="s">
        <v>62</v>
      </c>
      <c r="E13" s="240"/>
      <c r="F13" s="240"/>
      <c r="G13" s="240" t="s">
        <v>1</v>
      </c>
      <c r="H13" s="240" t="s">
        <v>3</v>
      </c>
      <c r="I13" s="42"/>
      <c r="J13" s="42"/>
      <c r="K13" s="244" t="s">
        <v>108</v>
      </c>
      <c r="L13" s="245" t="s">
        <v>107</v>
      </c>
      <c r="M13" s="246"/>
      <c r="N13" s="246"/>
      <c r="O13" s="246"/>
      <c r="P13" s="246"/>
      <c r="Q13" s="246"/>
      <c r="R13" s="246"/>
      <c r="S13" s="246"/>
      <c r="T13" s="246"/>
    </row>
    <row r="14" spans="2:20" ht="12.75">
      <c r="B14" s="241" t="s">
        <v>1</v>
      </c>
      <c r="C14" s="241" t="s">
        <v>2</v>
      </c>
      <c r="D14" s="241" t="s">
        <v>63</v>
      </c>
      <c r="E14" s="241" t="s">
        <v>17</v>
      </c>
      <c r="F14" s="241" t="s">
        <v>18</v>
      </c>
      <c r="G14" s="241" t="s">
        <v>4</v>
      </c>
      <c r="H14" s="241" t="s">
        <v>21</v>
      </c>
      <c r="K14" s="247" t="s">
        <v>15</v>
      </c>
      <c r="L14" s="248">
        <v>1</v>
      </c>
      <c r="M14" s="248">
        <v>2</v>
      </c>
      <c r="N14" s="248">
        <v>3</v>
      </c>
      <c r="O14" s="248">
        <v>4</v>
      </c>
      <c r="P14" s="248">
        <v>5</v>
      </c>
      <c r="Q14" s="248">
        <v>6</v>
      </c>
      <c r="R14" s="248">
        <v>7</v>
      </c>
      <c r="S14" s="248">
        <v>8</v>
      </c>
      <c r="T14" s="248">
        <v>9</v>
      </c>
    </row>
    <row r="15" spans="2:20" ht="15" customHeight="1">
      <c r="B15" s="242" t="s">
        <v>24</v>
      </c>
      <c r="C15" s="242" t="s">
        <v>24</v>
      </c>
      <c r="D15" s="242" t="s">
        <v>24</v>
      </c>
      <c r="E15" s="242" t="s">
        <v>24</v>
      </c>
      <c r="F15" s="242" t="s">
        <v>24</v>
      </c>
      <c r="G15" s="242" t="s">
        <v>24</v>
      </c>
      <c r="H15" s="242" t="s">
        <v>24</v>
      </c>
      <c r="K15" s="250" t="s">
        <v>25</v>
      </c>
      <c r="L15" s="97">
        <v>1.856951</v>
      </c>
      <c r="M15" s="97">
        <v>0.7198119</v>
      </c>
      <c r="N15" s="97">
        <v>-1.002225</v>
      </c>
      <c r="O15" s="97"/>
      <c r="P15" s="97"/>
      <c r="Q15" s="97"/>
      <c r="R15" s="97"/>
      <c r="S15" s="97"/>
      <c r="T15" s="97"/>
    </row>
    <row r="16" spans="2:20" ht="15" customHeight="1">
      <c r="B16" s="9" t="s">
        <v>9</v>
      </c>
      <c r="C16" s="94">
        <v>0.4</v>
      </c>
      <c r="D16" s="94">
        <v>0.49</v>
      </c>
      <c r="E16" s="94">
        <v>0</v>
      </c>
      <c r="F16" s="94">
        <v>1</v>
      </c>
      <c r="G16" s="54" t="s">
        <v>104</v>
      </c>
      <c r="H16" s="54" t="s">
        <v>106</v>
      </c>
      <c r="I16" s="101">
        <f>IF(H16="","",IF(H16="M",Mn,IF(H16="Min",Min,IF(H16="Max",Max,H16))))</f>
        <v>0.4</v>
      </c>
      <c r="K16" s="251" t="str">
        <f>IF(RHV="","---",RHV)</f>
        <v>YR89</v>
      </c>
      <c r="L16" s="97">
        <v>0.95575</v>
      </c>
      <c r="M16" s="97">
        <v>0.5363707</v>
      </c>
      <c r="N16" s="97">
        <v>0.3312184</v>
      </c>
      <c r="O16" s="97"/>
      <c r="P16" s="97"/>
      <c r="Q16" s="97"/>
      <c r="R16" s="97"/>
      <c r="S16" s="97"/>
      <c r="T16" s="97"/>
    </row>
    <row r="17" spans="2:20" ht="15" customHeight="1">
      <c r="B17" s="9" t="s">
        <v>10</v>
      </c>
      <c r="C17" s="94">
        <v>0.47</v>
      </c>
      <c r="D17" s="94">
        <v>0.5</v>
      </c>
      <c r="E17" s="94">
        <v>0</v>
      </c>
      <c r="F17" s="94">
        <v>1</v>
      </c>
      <c r="G17" s="54" t="s">
        <v>104</v>
      </c>
      <c r="H17" s="54" t="s">
        <v>106</v>
      </c>
      <c r="I17" s="101">
        <f aca="true" t="shared" si="0" ref="I17:I65">IF(H17="","",IF(H17="M",Mn,IF(H17="Min",Min,IF(H17="Max",Max,H17))))</f>
        <v>0.47</v>
      </c>
      <c r="K17" s="252" t="str">
        <f aca="true" t="shared" si="1" ref="K17:K65">IF(RHV="","---",RHV)</f>
        <v>MALE</v>
      </c>
      <c r="L17" s="97">
        <v>-0.300975</v>
      </c>
      <c r="M17" s="97">
        <v>-0.7179949</v>
      </c>
      <c r="N17" s="97">
        <v>-1.085618</v>
      </c>
      <c r="O17" s="97"/>
      <c r="P17" s="97"/>
      <c r="Q17" s="97"/>
      <c r="R17" s="97"/>
      <c r="S17" s="97"/>
      <c r="T17" s="97"/>
    </row>
    <row r="18" spans="2:20" ht="15" customHeight="1">
      <c r="B18" s="9" t="s">
        <v>11</v>
      </c>
      <c r="C18" s="94">
        <v>0.88</v>
      </c>
      <c r="D18" s="94">
        <v>0.33</v>
      </c>
      <c r="E18" s="94">
        <v>0</v>
      </c>
      <c r="F18" s="94">
        <v>1</v>
      </c>
      <c r="G18" s="54" t="s">
        <v>104</v>
      </c>
      <c r="H18" s="54" t="s">
        <v>106</v>
      </c>
      <c r="I18" s="101">
        <f t="shared" si="0"/>
        <v>0.88</v>
      </c>
      <c r="K18" s="252" t="str">
        <f t="shared" si="1"/>
        <v>WHITE</v>
      </c>
      <c r="L18" s="97">
        <v>-0.5287267</v>
      </c>
      <c r="M18" s="97">
        <v>-0.3492339</v>
      </c>
      <c r="N18" s="97">
        <v>-0.3775375</v>
      </c>
      <c r="O18" s="97"/>
      <c r="P18" s="97"/>
      <c r="Q18" s="97"/>
      <c r="R18" s="97"/>
      <c r="S18" s="97"/>
      <c r="T18" s="97"/>
    </row>
    <row r="19" spans="2:20" ht="15" customHeight="1">
      <c r="B19" s="9" t="s">
        <v>12</v>
      </c>
      <c r="C19" s="94">
        <v>44.94</v>
      </c>
      <c r="D19" s="94">
        <v>16.78</v>
      </c>
      <c r="E19" s="94">
        <v>18</v>
      </c>
      <c r="F19" s="94">
        <v>89</v>
      </c>
      <c r="G19" s="54" t="s">
        <v>105</v>
      </c>
      <c r="H19" s="54" t="s">
        <v>106</v>
      </c>
      <c r="I19" s="101">
        <f t="shared" si="0"/>
        <v>44.94</v>
      </c>
      <c r="K19" s="252" t="str">
        <f t="shared" si="1"/>
        <v>AGE</v>
      </c>
      <c r="L19" s="97">
        <v>-0.0163486</v>
      </c>
      <c r="M19" s="97">
        <v>-0.0249764</v>
      </c>
      <c r="N19" s="97">
        <v>-0.0186902</v>
      </c>
      <c r="O19" s="97"/>
      <c r="P19" s="97"/>
      <c r="Q19" s="97"/>
      <c r="R19" s="97"/>
      <c r="S19" s="97"/>
      <c r="T19" s="97"/>
    </row>
    <row r="20" spans="2:20" ht="15" customHeight="1">
      <c r="B20" s="9" t="s">
        <v>13</v>
      </c>
      <c r="C20" s="94">
        <v>12.22</v>
      </c>
      <c r="D20" s="94">
        <v>3.16</v>
      </c>
      <c r="E20" s="94">
        <v>0</v>
      </c>
      <c r="F20" s="94">
        <v>20</v>
      </c>
      <c r="G20" s="54" t="s">
        <v>105</v>
      </c>
      <c r="H20" s="54" t="s">
        <v>106</v>
      </c>
      <c r="I20" s="101">
        <f t="shared" si="0"/>
        <v>12.22</v>
      </c>
      <c r="K20" s="252" t="str">
        <f t="shared" si="1"/>
        <v>ED</v>
      </c>
      <c r="L20" s="97">
        <v>0.1032469</v>
      </c>
      <c r="M20" s="97">
        <v>0.0558691</v>
      </c>
      <c r="N20" s="97">
        <v>0.0566852</v>
      </c>
      <c r="O20" s="97"/>
      <c r="P20" s="97"/>
      <c r="Q20" s="97"/>
      <c r="R20" s="97"/>
      <c r="S20" s="97"/>
      <c r="T20" s="97"/>
    </row>
    <row r="21" spans="2:20" ht="15" customHeight="1">
      <c r="B21" s="9" t="s">
        <v>14</v>
      </c>
      <c r="C21" s="94">
        <v>39.59</v>
      </c>
      <c r="D21" s="94">
        <v>14.49</v>
      </c>
      <c r="E21" s="94">
        <v>12</v>
      </c>
      <c r="F21" s="94">
        <v>82</v>
      </c>
      <c r="G21" s="54" t="s">
        <v>105</v>
      </c>
      <c r="H21" s="54" t="s">
        <v>106</v>
      </c>
      <c r="I21" s="101">
        <f t="shared" si="0"/>
        <v>39.59</v>
      </c>
      <c r="K21" s="252" t="str">
        <f t="shared" si="1"/>
        <v>PRST</v>
      </c>
      <c r="L21" s="97">
        <v>-0.0016912</v>
      </c>
      <c r="M21" s="97">
        <v>0.0098476</v>
      </c>
      <c r="N21" s="97">
        <v>0.0049225</v>
      </c>
      <c r="O21" s="97"/>
      <c r="P21" s="97"/>
      <c r="Q21" s="97"/>
      <c r="R21" s="97"/>
      <c r="S21" s="97"/>
      <c r="T21" s="97"/>
    </row>
    <row r="22" spans="2:20" ht="15" customHeight="1">
      <c r="B22" s="9"/>
      <c r="C22" s="94"/>
      <c r="D22" s="94"/>
      <c r="E22" s="94"/>
      <c r="F22" s="94"/>
      <c r="G22" s="54"/>
      <c r="H22" s="54"/>
      <c r="I22" s="101">
        <f t="shared" si="0"/>
      </c>
      <c r="K22" s="252" t="str">
        <f t="shared" si="1"/>
        <v>---</v>
      </c>
      <c r="L22" s="97"/>
      <c r="M22" s="97"/>
      <c r="N22" s="97"/>
      <c r="O22" s="97"/>
      <c r="P22" s="97"/>
      <c r="Q22" s="97"/>
      <c r="R22" s="97"/>
      <c r="S22" s="97"/>
      <c r="T22" s="97"/>
    </row>
    <row r="23" spans="2:20" ht="15" customHeight="1">
      <c r="B23" s="9"/>
      <c r="C23" s="94"/>
      <c r="D23" s="94"/>
      <c r="E23" s="95"/>
      <c r="F23" s="95"/>
      <c r="G23" s="54"/>
      <c r="H23" s="54"/>
      <c r="I23" s="101">
        <f t="shared" si="0"/>
      </c>
      <c r="K23" s="252" t="str">
        <f t="shared" si="1"/>
        <v>---</v>
      </c>
      <c r="L23" s="97"/>
      <c r="M23" s="97"/>
      <c r="N23" s="97"/>
      <c r="O23" s="97"/>
      <c r="P23" s="97"/>
      <c r="Q23" s="97"/>
      <c r="R23" s="97"/>
      <c r="S23" s="97"/>
      <c r="T23" s="97"/>
    </row>
    <row r="24" spans="2:20" ht="15" customHeight="1">
      <c r="B24" s="9"/>
      <c r="C24" s="94"/>
      <c r="D24" s="94"/>
      <c r="E24" s="94"/>
      <c r="F24" s="94"/>
      <c r="G24" s="54"/>
      <c r="H24" s="54"/>
      <c r="I24" s="101">
        <f t="shared" si="0"/>
      </c>
      <c r="K24" s="252" t="str">
        <f t="shared" si="1"/>
        <v>---</v>
      </c>
      <c r="L24" s="97"/>
      <c r="M24" s="97"/>
      <c r="N24" s="97"/>
      <c r="O24" s="97"/>
      <c r="P24" s="97"/>
      <c r="Q24" s="97"/>
      <c r="R24" s="97"/>
      <c r="S24" s="97"/>
      <c r="T24" s="97"/>
    </row>
    <row r="25" spans="2:20" ht="15" customHeight="1">
      <c r="B25" s="9"/>
      <c r="C25" s="94"/>
      <c r="D25" s="94"/>
      <c r="E25" s="94"/>
      <c r="F25" s="94"/>
      <c r="G25" s="54"/>
      <c r="H25" s="54"/>
      <c r="I25" s="101">
        <f t="shared" si="0"/>
      </c>
      <c r="K25" s="252" t="str">
        <f t="shared" si="1"/>
        <v>---</v>
      </c>
      <c r="L25" s="97"/>
      <c r="M25" s="97"/>
      <c r="N25" s="97"/>
      <c r="O25" s="97"/>
      <c r="P25" s="97"/>
      <c r="Q25" s="97"/>
      <c r="R25" s="97"/>
      <c r="S25" s="97"/>
      <c r="T25" s="97"/>
    </row>
    <row r="26" spans="2:20" ht="15" customHeight="1">
      <c r="B26" s="9"/>
      <c r="C26" s="94"/>
      <c r="D26" s="94"/>
      <c r="E26" s="94"/>
      <c r="F26" s="94"/>
      <c r="G26" s="54"/>
      <c r="H26" s="54"/>
      <c r="I26" s="101">
        <f t="shared" si="0"/>
      </c>
      <c r="K26" s="252" t="str">
        <f t="shared" si="1"/>
        <v>---</v>
      </c>
      <c r="L26" s="97"/>
      <c r="M26" s="97"/>
      <c r="N26" s="97"/>
      <c r="O26" s="97"/>
      <c r="P26" s="97"/>
      <c r="Q26" s="97"/>
      <c r="R26" s="97"/>
      <c r="S26" s="97"/>
      <c r="T26" s="97"/>
    </row>
    <row r="27" spans="2:20" ht="15" customHeight="1">
      <c r="B27" s="9"/>
      <c r="C27" s="94"/>
      <c r="D27" s="94"/>
      <c r="E27" s="94"/>
      <c r="F27" s="94"/>
      <c r="G27" s="54"/>
      <c r="H27" s="54"/>
      <c r="I27" s="101">
        <f t="shared" si="0"/>
      </c>
      <c r="K27" s="252" t="str">
        <f t="shared" si="1"/>
        <v>---</v>
      </c>
      <c r="L27" s="97"/>
      <c r="M27" s="97"/>
      <c r="N27" s="97"/>
      <c r="O27" s="97"/>
      <c r="P27" s="97"/>
      <c r="Q27" s="97"/>
      <c r="R27" s="97"/>
      <c r="S27" s="97"/>
      <c r="T27" s="97"/>
    </row>
    <row r="28" spans="2:23" ht="15" customHeight="1">
      <c r="B28" s="9"/>
      <c r="C28" s="94"/>
      <c r="D28" s="94"/>
      <c r="E28" s="94"/>
      <c r="F28" s="94"/>
      <c r="G28" s="54"/>
      <c r="H28" s="54"/>
      <c r="I28" s="101">
        <f t="shared" si="0"/>
      </c>
      <c r="K28" s="252" t="str">
        <f t="shared" si="1"/>
        <v>---</v>
      </c>
      <c r="L28" s="97"/>
      <c r="M28" s="97"/>
      <c r="N28" s="97"/>
      <c r="O28" s="97"/>
      <c r="P28" s="97"/>
      <c r="Q28" s="97"/>
      <c r="R28" s="97"/>
      <c r="S28" s="97"/>
      <c r="T28" s="97"/>
      <c r="W28" s="44"/>
    </row>
    <row r="29" spans="2:23" ht="15" customHeight="1">
      <c r="B29" s="9"/>
      <c r="C29" s="94"/>
      <c r="D29" s="94"/>
      <c r="E29" s="94"/>
      <c r="F29" s="94"/>
      <c r="G29" s="54"/>
      <c r="H29" s="54"/>
      <c r="I29" s="101">
        <f t="shared" si="0"/>
      </c>
      <c r="K29" s="252" t="str">
        <f t="shared" si="1"/>
        <v>---</v>
      </c>
      <c r="L29" s="97"/>
      <c r="M29" s="97"/>
      <c r="N29" s="97"/>
      <c r="O29" s="97"/>
      <c r="P29" s="97"/>
      <c r="Q29" s="97"/>
      <c r="R29" s="97"/>
      <c r="S29" s="97"/>
      <c r="T29" s="97"/>
      <c r="W29" s="44"/>
    </row>
    <row r="30" spans="2:23" ht="15" customHeight="1">
      <c r="B30" s="9"/>
      <c r="C30" s="94"/>
      <c r="D30" s="94"/>
      <c r="E30" s="94"/>
      <c r="F30" s="94"/>
      <c r="G30" s="54"/>
      <c r="H30" s="54"/>
      <c r="I30" s="101">
        <f t="shared" si="0"/>
      </c>
      <c r="K30" s="252" t="str">
        <f t="shared" si="1"/>
        <v>---</v>
      </c>
      <c r="L30" s="97"/>
      <c r="M30" s="97"/>
      <c r="N30" s="97"/>
      <c r="O30" s="97"/>
      <c r="P30" s="97"/>
      <c r="Q30" s="97"/>
      <c r="R30" s="97"/>
      <c r="S30" s="97"/>
      <c r="T30" s="97"/>
      <c r="W30" s="44"/>
    </row>
    <row r="31" spans="2:23" ht="15" customHeight="1">
      <c r="B31" s="9"/>
      <c r="C31" s="94"/>
      <c r="D31" s="94"/>
      <c r="E31" s="94"/>
      <c r="F31" s="94"/>
      <c r="G31" s="54"/>
      <c r="H31" s="54"/>
      <c r="I31" s="101">
        <f t="shared" si="0"/>
      </c>
      <c r="K31" s="252" t="str">
        <f t="shared" si="1"/>
        <v>---</v>
      </c>
      <c r="L31" s="97"/>
      <c r="M31" s="97"/>
      <c r="N31" s="97"/>
      <c r="O31" s="97"/>
      <c r="P31" s="97"/>
      <c r="Q31" s="97"/>
      <c r="R31" s="97"/>
      <c r="S31" s="97"/>
      <c r="T31" s="97"/>
      <c r="W31" s="44"/>
    </row>
    <row r="32" spans="2:23" ht="15" customHeight="1">
      <c r="B32" s="9"/>
      <c r="C32" s="94"/>
      <c r="D32" s="94"/>
      <c r="E32" s="94"/>
      <c r="F32" s="94"/>
      <c r="G32" s="54"/>
      <c r="H32" s="54"/>
      <c r="I32" s="101">
        <f t="shared" si="0"/>
      </c>
      <c r="K32" s="252" t="str">
        <f t="shared" si="1"/>
        <v>---</v>
      </c>
      <c r="L32" s="97"/>
      <c r="M32" s="97"/>
      <c r="N32" s="97"/>
      <c r="O32" s="97"/>
      <c r="P32" s="97"/>
      <c r="Q32" s="97"/>
      <c r="R32" s="97"/>
      <c r="S32" s="97"/>
      <c r="T32" s="97"/>
      <c r="W32" s="44"/>
    </row>
    <row r="33" spans="2:23" ht="15" customHeight="1">
      <c r="B33" s="9"/>
      <c r="C33" s="94"/>
      <c r="D33" s="94"/>
      <c r="E33" s="94"/>
      <c r="F33" s="94"/>
      <c r="G33" s="54"/>
      <c r="H33" s="54"/>
      <c r="I33" s="101">
        <f t="shared" si="0"/>
      </c>
      <c r="K33" s="252" t="str">
        <f t="shared" si="1"/>
        <v>---</v>
      </c>
      <c r="L33" s="97"/>
      <c r="M33" s="97"/>
      <c r="N33" s="97"/>
      <c r="O33" s="97"/>
      <c r="P33" s="97"/>
      <c r="Q33" s="97"/>
      <c r="R33" s="97"/>
      <c r="S33" s="97"/>
      <c r="T33" s="97"/>
      <c r="W33" s="44"/>
    </row>
    <row r="34" spans="2:23" ht="15" customHeight="1">
      <c r="B34" s="9"/>
      <c r="C34" s="94"/>
      <c r="D34" s="94"/>
      <c r="E34" s="94"/>
      <c r="F34" s="94"/>
      <c r="G34" s="54"/>
      <c r="H34" s="54"/>
      <c r="I34" s="101">
        <f t="shared" si="0"/>
      </c>
      <c r="K34" s="252" t="str">
        <f t="shared" si="1"/>
        <v>---</v>
      </c>
      <c r="L34" s="97"/>
      <c r="M34" s="97"/>
      <c r="N34" s="97"/>
      <c r="O34" s="97"/>
      <c r="P34" s="97"/>
      <c r="Q34" s="97"/>
      <c r="R34" s="97"/>
      <c r="S34" s="97"/>
      <c r="T34" s="97"/>
      <c r="W34" s="44"/>
    </row>
    <row r="35" spans="2:23" ht="15" customHeight="1">
      <c r="B35" s="9"/>
      <c r="C35" s="94"/>
      <c r="D35" s="94"/>
      <c r="E35" s="94"/>
      <c r="F35" s="94"/>
      <c r="G35" s="54"/>
      <c r="H35" s="54"/>
      <c r="I35" s="101">
        <f t="shared" si="0"/>
      </c>
      <c r="K35" s="252" t="str">
        <f t="shared" si="1"/>
        <v>---</v>
      </c>
      <c r="L35" s="97"/>
      <c r="M35" s="97"/>
      <c r="N35" s="97"/>
      <c r="O35" s="97"/>
      <c r="P35" s="97"/>
      <c r="Q35" s="97"/>
      <c r="R35" s="97"/>
      <c r="S35" s="97"/>
      <c r="T35" s="97"/>
      <c r="W35" s="44"/>
    </row>
    <row r="36" spans="2:23" ht="15" customHeight="1">
      <c r="B36" s="9"/>
      <c r="C36" s="94"/>
      <c r="D36" s="94"/>
      <c r="E36" s="94"/>
      <c r="F36" s="94"/>
      <c r="G36" s="54"/>
      <c r="H36" s="54"/>
      <c r="I36" s="101">
        <f t="shared" si="0"/>
      </c>
      <c r="K36" s="252" t="str">
        <f t="shared" si="1"/>
        <v>---</v>
      </c>
      <c r="L36" s="97"/>
      <c r="M36" s="97"/>
      <c r="N36" s="97"/>
      <c r="O36" s="97"/>
      <c r="P36" s="97"/>
      <c r="Q36" s="97"/>
      <c r="R36" s="97"/>
      <c r="S36" s="97"/>
      <c r="T36" s="97"/>
      <c r="W36" s="44"/>
    </row>
    <row r="37" spans="2:23" ht="15" customHeight="1">
      <c r="B37" s="9"/>
      <c r="C37" s="94"/>
      <c r="D37" s="94"/>
      <c r="E37" s="94"/>
      <c r="F37" s="94"/>
      <c r="G37" s="54"/>
      <c r="H37" s="54"/>
      <c r="I37" s="101">
        <f t="shared" si="0"/>
      </c>
      <c r="K37" s="252" t="str">
        <f t="shared" si="1"/>
        <v>---</v>
      </c>
      <c r="L37" s="97"/>
      <c r="M37" s="97"/>
      <c r="N37" s="97"/>
      <c r="O37" s="97"/>
      <c r="P37" s="97"/>
      <c r="Q37" s="97"/>
      <c r="R37" s="97"/>
      <c r="S37" s="97"/>
      <c r="T37" s="97"/>
      <c r="W37" s="44"/>
    </row>
    <row r="38" spans="2:23" ht="15" customHeight="1">
      <c r="B38" s="9"/>
      <c r="C38" s="94"/>
      <c r="D38" s="94"/>
      <c r="E38" s="94"/>
      <c r="F38" s="94"/>
      <c r="G38" s="54"/>
      <c r="H38" s="54"/>
      <c r="I38" s="101">
        <f t="shared" si="0"/>
      </c>
      <c r="K38" s="252" t="str">
        <f t="shared" si="1"/>
        <v>---</v>
      </c>
      <c r="L38" s="97"/>
      <c r="M38" s="97"/>
      <c r="N38" s="97"/>
      <c r="O38" s="97"/>
      <c r="P38" s="97"/>
      <c r="Q38" s="97"/>
      <c r="R38" s="97"/>
      <c r="S38" s="97"/>
      <c r="T38" s="97"/>
      <c r="W38" s="44"/>
    </row>
    <row r="39" spans="2:23" ht="15" customHeight="1">
      <c r="B39" s="9"/>
      <c r="C39" s="94"/>
      <c r="D39" s="94"/>
      <c r="E39" s="94"/>
      <c r="F39" s="94"/>
      <c r="G39" s="54"/>
      <c r="H39" s="54"/>
      <c r="I39" s="101">
        <f t="shared" si="0"/>
      </c>
      <c r="K39" s="252" t="str">
        <f t="shared" si="1"/>
        <v>---</v>
      </c>
      <c r="L39" s="97"/>
      <c r="M39" s="97"/>
      <c r="N39" s="97"/>
      <c r="O39" s="97"/>
      <c r="P39" s="97"/>
      <c r="Q39" s="97"/>
      <c r="R39" s="97"/>
      <c r="S39" s="97"/>
      <c r="T39" s="97"/>
      <c r="W39" s="44"/>
    </row>
    <row r="40" spans="2:23" ht="15" customHeight="1">
      <c r="B40" s="9"/>
      <c r="C40" s="94"/>
      <c r="D40" s="94"/>
      <c r="E40" s="94"/>
      <c r="F40" s="94"/>
      <c r="G40" s="54"/>
      <c r="H40" s="54"/>
      <c r="I40" s="101">
        <f t="shared" si="0"/>
      </c>
      <c r="K40" s="252" t="str">
        <f t="shared" si="1"/>
        <v>---</v>
      </c>
      <c r="L40" s="97"/>
      <c r="M40" s="97"/>
      <c r="N40" s="97"/>
      <c r="O40" s="97"/>
      <c r="P40" s="97"/>
      <c r="Q40" s="97"/>
      <c r="R40" s="97"/>
      <c r="S40" s="97"/>
      <c r="T40" s="97"/>
      <c r="W40" s="44"/>
    </row>
    <row r="41" spans="2:23" ht="15" customHeight="1">
      <c r="B41" s="9"/>
      <c r="C41" s="94"/>
      <c r="D41" s="94"/>
      <c r="E41" s="94"/>
      <c r="F41" s="94"/>
      <c r="G41" s="54"/>
      <c r="H41" s="54"/>
      <c r="I41" s="101">
        <f t="shared" si="0"/>
      </c>
      <c r="K41" s="252" t="str">
        <f t="shared" si="1"/>
        <v>---</v>
      </c>
      <c r="L41" s="97"/>
      <c r="M41" s="97"/>
      <c r="N41" s="97"/>
      <c r="O41" s="97"/>
      <c r="P41" s="97"/>
      <c r="Q41" s="97"/>
      <c r="R41" s="97"/>
      <c r="S41" s="97"/>
      <c r="T41" s="97"/>
      <c r="W41" s="44"/>
    </row>
    <row r="42" spans="2:23" ht="15" customHeight="1">
      <c r="B42" s="9"/>
      <c r="C42" s="94"/>
      <c r="D42" s="94"/>
      <c r="E42" s="94"/>
      <c r="F42" s="94"/>
      <c r="G42" s="54"/>
      <c r="H42" s="54"/>
      <c r="I42" s="101">
        <f t="shared" si="0"/>
      </c>
      <c r="K42" s="252" t="str">
        <f t="shared" si="1"/>
        <v>---</v>
      </c>
      <c r="L42" s="97"/>
      <c r="M42" s="97"/>
      <c r="N42" s="97"/>
      <c r="O42" s="97"/>
      <c r="P42" s="97"/>
      <c r="Q42" s="97"/>
      <c r="R42" s="97"/>
      <c r="S42" s="97"/>
      <c r="T42" s="97"/>
      <c r="W42" s="44"/>
    </row>
    <row r="43" spans="2:23" ht="15" customHeight="1">
      <c r="B43" s="9"/>
      <c r="C43" s="94"/>
      <c r="D43" s="94"/>
      <c r="E43" s="94"/>
      <c r="F43" s="94"/>
      <c r="G43" s="54"/>
      <c r="H43" s="54"/>
      <c r="I43" s="101">
        <f t="shared" si="0"/>
      </c>
      <c r="K43" s="252" t="str">
        <f t="shared" si="1"/>
        <v>---</v>
      </c>
      <c r="L43" s="97"/>
      <c r="M43" s="97"/>
      <c r="N43" s="97"/>
      <c r="O43" s="97"/>
      <c r="P43" s="97"/>
      <c r="Q43" s="97"/>
      <c r="R43" s="97"/>
      <c r="S43" s="97"/>
      <c r="T43" s="97"/>
      <c r="W43" s="44"/>
    </row>
    <row r="44" spans="2:23" ht="15" customHeight="1">
      <c r="B44" s="9"/>
      <c r="C44" s="94"/>
      <c r="D44" s="94"/>
      <c r="E44" s="94"/>
      <c r="F44" s="94"/>
      <c r="G44" s="54"/>
      <c r="H44" s="54"/>
      <c r="I44" s="101">
        <f t="shared" si="0"/>
      </c>
      <c r="K44" s="252" t="str">
        <f t="shared" si="1"/>
        <v>---</v>
      </c>
      <c r="L44" s="97"/>
      <c r="M44" s="97"/>
      <c r="N44" s="97"/>
      <c r="O44" s="97"/>
      <c r="P44" s="97"/>
      <c r="Q44" s="97"/>
      <c r="R44" s="97"/>
      <c r="S44" s="97"/>
      <c r="T44" s="97"/>
      <c r="W44" s="44"/>
    </row>
    <row r="45" spans="2:23" ht="15" customHeight="1">
      <c r="B45" s="9"/>
      <c r="C45" s="94"/>
      <c r="D45" s="94"/>
      <c r="E45" s="94"/>
      <c r="F45" s="94"/>
      <c r="G45" s="54"/>
      <c r="H45" s="54"/>
      <c r="I45" s="101">
        <f t="shared" si="0"/>
      </c>
      <c r="K45" s="252" t="str">
        <f t="shared" si="1"/>
        <v>---</v>
      </c>
      <c r="L45" s="97"/>
      <c r="M45" s="97"/>
      <c r="N45" s="97"/>
      <c r="O45" s="97"/>
      <c r="P45" s="97"/>
      <c r="Q45" s="97"/>
      <c r="R45" s="97"/>
      <c r="S45" s="97"/>
      <c r="T45" s="97"/>
      <c r="W45" s="44"/>
    </row>
    <row r="46" spans="2:23" ht="15" customHeight="1">
      <c r="B46" s="9"/>
      <c r="C46" s="94"/>
      <c r="D46" s="94"/>
      <c r="E46" s="94"/>
      <c r="F46" s="94"/>
      <c r="G46" s="54"/>
      <c r="H46" s="54"/>
      <c r="I46" s="101">
        <f t="shared" si="0"/>
      </c>
      <c r="K46" s="252" t="str">
        <f t="shared" si="1"/>
        <v>---</v>
      </c>
      <c r="L46" s="97"/>
      <c r="M46" s="97"/>
      <c r="N46" s="97"/>
      <c r="O46" s="97"/>
      <c r="P46" s="97"/>
      <c r="Q46" s="97"/>
      <c r="R46" s="97"/>
      <c r="S46" s="97"/>
      <c r="T46" s="97"/>
      <c r="W46" s="44"/>
    </row>
    <row r="47" spans="2:23" ht="15" customHeight="1">
      <c r="B47" s="9"/>
      <c r="C47" s="94"/>
      <c r="D47" s="94"/>
      <c r="E47" s="94"/>
      <c r="F47" s="94"/>
      <c r="G47" s="54"/>
      <c r="H47" s="54"/>
      <c r="I47" s="101">
        <f t="shared" si="0"/>
      </c>
      <c r="K47" s="252" t="str">
        <f t="shared" si="1"/>
        <v>---</v>
      </c>
      <c r="L47" s="97"/>
      <c r="M47" s="97"/>
      <c r="N47" s="97"/>
      <c r="O47" s="97"/>
      <c r="P47" s="97"/>
      <c r="Q47" s="97"/>
      <c r="R47" s="97"/>
      <c r="S47" s="97"/>
      <c r="T47" s="97"/>
      <c r="W47" s="44"/>
    </row>
    <row r="48" spans="2:23" ht="15" customHeight="1">
      <c r="B48" s="9"/>
      <c r="C48" s="94"/>
      <c r="D48" s="94"/>
      <c r="E48" s="94"/>
      <c r="F48" s="94"/>
      <c r="G48" s="54"/>
      <c r="H48" s="54"/>
      <c r="I48" s="101">
        <f t="shared" si="0"/>
      </c>
      <c r="K48" s="252" t="str">
        <f t="shared" si="1"/>
        <v>---</v>
      </c>
      <c r="L48" s="97"/>
      <c r="M48" s="97"/>
      <c r="N48" s="97"/>
      <c r="O48" s="97"/>
      <c r="P48" s="97"/>
      <c r="Q48" s="97"/>
      <c r="R48" s="97"/>
      <c r="S48" s="97"/>
      <c r="T48" s="97"/>
      <c r="W48" s="44"/>
    </row>
    <row r="49" spans="2:23" ht="15" customHeight="1">
      <c r="B49" s="9"/>
      <c r="C49" s="94"/>
      <c r="D49" s="94"/>
      <c r="E49" s="94"/>
      <c r="F49" s="94"/>
      <c r="G49" s="54"/>
      <c r="H49" s="54"/>
      <c r="I49" s="101">
        <f t="shared" si="0"/>
      </c>
      <c r="K49" s="252" t="str">
        <f t="shared" si="1"/>
        <v>---</v>
      </c>
      <c r="L49" s="97"/>
      <c r="M49" s="97"/>
      <c r="N49" s="97"/>
      <c r="O49" s="97"/>
      <c r="P49" s="97"/>
      <c r="Q49" s="97"/>
      <c r="R49" s="97"/>
      <c r="S49" s="97"/>
      <c r="T49" s="97"/>
      <c r="W49" s="44"/>
    </row>
    <row r="50" spans="2:23" ht="15" customHeight="1">
      <c r="B50" s="9"/>
      <c r="C50" s="94"/>
      <c r="D50" s="94"/>
      <c r="E50" s="94"/>
      <c r="F50" s="94"/>
      <c r="G50" s="54"/>
      <c r="H50" s="54"/>
      <c r="I50" s="101">
        <f t="shared" si="0"/>
      </c>
      <c r="K50" s="252" t="str">
        <f t="shared" si="1"/>
        <v>---</v>
      </c>
      <c r="L50" s="97"/>
      <c r="M50" s="97"/>
      <c r="N50" s="97"/>
      <c r="O50" s="97"/>
      <c r="P50" s="97"/>
      <c r="Q50" s="97"/>
      <c r="R50" s="97"/>
      <c r="S50" s="97"/>
      <c r="T50" s="97"/>
      <c r="W50" s="44"/>
    </row>
    <row r="51" spans="2:23" ht="15" customHeight="1">
      <c r="B51" s="9"/>
      <c r="C51" s="94"/>
      <c r="D51" s="94"/>
      <c r="E51" s="94"/>
      <c r="F51" s="94"/>
      <c r="G51" s="54"/>
      <c r="H51" s="54"/>
      <c r="I51" s="101">
        <f t="shared" si="0"/>
      </c>
      <c r="K51" s="252" t="str">
        <f t="shared" si="1"/>
        <v>---</v>
      </c>
      <c r="L51" s="97"/>
      <c r="M51" s="97"/>
      <c r="N51" s="97"/>
      <c r="O51" s="97"/>
      <c r="P51" s="97"/>
      <c r="Q51" s="97"/>
      <c r="R51" s="97"/>
      <c r="S51" s="97"/>
      <c r="T51" s="97"/>
      <c r="W51" s="44"/>
    </row>
    <row r="52" spans="2:23" ht="15" customHeight="1">
      <c r="B52" s="9"/>
      <c r="C52" s="94"/>
      <c r="D52" s="94"/>
      <c r="E52" s="94"/>
      <c r="F52" s="94"/>
      <c r="G52" s="54"/>
      <c r="H52" s="54"/>
      <c r="I52" s="101">
        <f t="shared" si="0"/>
      </c>
      <c r="K52" s="252" t="str">
        <f t="shared" si="1"/>
        <v>---</v>
      </c>
      <c r="L52" s="97"/>
      <c r="M52" s="97"/>
      <c r="N52" s="97"/>
      <c r="O52" s="97"/>
      <c r="P52" s="97"/>
      <c r="Q52" s="97"/>
      <c r="R52" s="97"/>
      <c r="S52" s="97"/>
      <c r="T52" s="97"/>
      <c r="W52" s="44"/>
    </row>
    <row r="53" spans="2:23" ht="15" customHeight="1">
      <c r="B53" s="9"/>
      <c r="C53" s="94"/>
      <c r="D53" s="94"/>
      <c r="E53" s="94"/>
      <c r="F53" s="94"/>
      <c r="G53" s="54"/>
      <c r="H53" s="54"/>
      <c r="I53" s="101">
        <f t="shared" si="0"/>
      </c>
      <c r="K53" s="252" t="str">
        <f t="shared" si="1"/>
        <v>---</v>
      </c>
      <c r="L53" s="97"/>
      <c r="M53" s="97"/>
      <c r="N53" s="97"/>
      <c r="O53" s="97"/>
      <c r="P53" s="97"/>
      <c r="Q53" s="97"/>
      <c r="R53" s="97"/>
      <c r="S53" s="97"/>
      <c r="T53" s="97"/>
      <c r="W53" s="44"/>
    </row>
    <row r="54" spans="2:23" ht="15" customHeight="1">
      <c r="B54" s="9"/>
      <c r="C54" s="94"/>
      <c r="D54" s="94"/>
      <c r="E54" s="94"/>
      <c r="F54" s="94"/>
      <c r="G54" s="54"/>
      <c r="H54" s="54"/>
      <c r="I54" s="101">
        <f t="shared" si="0"/>
      </c>
      <c r="K54" s="252" t="str">
        <f t="shared" si="1"/>
        <v>---</v>
      </c>
      <c r="L54" s="97"/>
      <c r="M54" s="97"/>
      <c r="N54" s="97"/>
      <c r="O54" s="97"/>
      <c r="P54" s="97"/>
      <c r="Q54" s="97"/>
      <c r="R54" s="97"/>
      <c r="S54" s="97"/>
      <c r="T54" s="97"/>
      <c r="W54" s="44"/>
    </row>
    <row r="55" spans="2:23" ht="15" customHeight="1">
      <c r="B55" s="9"/>
      <c r="C55" s="94"/>
      <c r="D55" s="94"/>
      <c r="E55" s="94"/>
      <c r="F55" s="94"/>
      <c r="G55" s="54"/>
      <c r="H55" s="54"/>
      <c r="I55" s="101">
        <f t="shared" si="0"/>
      </c>
      <c r="K55" s="252" t="str">
        <f t="shared" si="1"/>
        <v>---</v>
      </c>
      <c r="L55" s="97"/>
      <c r="M55" s="97"/>
      <c r="N55" s="97"/>
      <c r="O55" s="97"/>
      <c r="P55" s="97"/>
      <c r="Q55" s="97"/>
      <c r="R55" s="97"/>
      <c r="S55" s="97"/>
      <c r="T55" s="97"/>
      <c r="W55" s="44"/>
    </row>
    <row r="56" spans="2:23" ht="15" customHeight="1">
      <c r="B56" s="9"/>
      <c r="C56" s="94"/>
      <c r="D56" s="94"/>
      <c r="E56" s="94"/>
      <c r="F56" s="94"/>
      <c r="G56" s="54"/>
      <c r="H56" s="54"/>
      <c r="I56" s="101">
        <f t="shared" si="0"/>
      </c>
      <c r="K56" s="252" t="str">
        <f t="shared" si="1"/>
        <v>---</v>
      </c>
      <c r="L56" s="97"/>
      <c r="M56" s="97"/>
      <c r="N56" s="97"/>
      <c r="O56" s="97"/>
      <c r="P56" s="97"/>
      <c r="Q56" s="97"/>
      <c r="R56" s="97"/>
      <c r="S56" s="97"/>
      <c r="T56" s="97"/>
      <c r="W56" s="44"/>
    </row>
    <row r="57" spans="2:23" ht="15" customHeight="1">
      <c r="B57" s="9"/>
      <c r="C57" s="94"/>
      <c r="D57" s="94"/>
      <c r="E57" s="94"/>
      <c r="F57" s="94"/>
      <c r="G57" s="54"/>
      <c r="H57" s="54"/>
      <c r="I57" s="101">
        <f t="shared" si="0"/>
      </c>
      <c r="K57" s="252" t="str">
        <f t="shared" si="1"/>
        <v>---</v>
      </c>
      <c r="L57" s="97"/>
      <c r="M57" s="97"/>
      <c r="N57" s="97"/>
      <c r="O57" s="97"/>
      <c r="P57" s="97"/>
      <c r="Q57" s="97"/>
      <c r="R57" s="97"/>
      <c r="S57" s="97"/>
      <c r="T57" s="97"/>
      <c r="W57" s="44"/>
    </row>
    <row r="58" spans="2:23" ht="15" customHeight="1">
      <c r="B58" s="9"/>
      <c r="C58" s="94"/>
      <c r="D58" s="94"/>
      <c r="E58" s="94"/>
      <c r="F58" s="94"/>
      <c r="G58" s="54"/>
      <c r="H58" s="54"/>
      <c r="I58" s="101">
        <f t="shared" si="0"/>
      </c>
      <c r="K58" s="252" t="str">
        <f t="shared" si="1"/>
        <v>---</v>
      </c>
      <c r="L58" s="97"/>
      <c r="M58" s="97"/>
      <c r="N58" s="97"/>
      <c r="O58" s="97"/>
      <c r="P58" s="97"/>
      <c r="Q58" s="97"/>
      <c r="R58" s="97"/>
      <c r="S58" s="97"/>
      <c r="T58" s="97"/>
      <c r="W58" s="44"/>
    </row>
    <row r="59" spans="2:23" ht="15" customHeight="1">
      <c r="B59" s="9"/>
      <c r="C59" s="94"/>
      <c r="D59" s="94"/>
      <c r="E59" s="94"/>
      <c r="F59" s="94"/>
      <c r="G59" s="54"/>
      <c r="H59" s="54"/>
      <c r="I59" s="101">
        <f t="shared" si="0"/>
      </c>
      <c r="K59" s="252" t="str">
        <f t="shared" si="1"/>
        <v>---</v>
      </c>
      <c r="L59" s="97"/>
      <c r="M59" s="97"/>
      <c r="N59" s="97"/>
      <c r="O59" s="97"/>
      <c r="P59" s="97"/>
      <c r="Q59" s="97"/>
      <c r="R59" s="97"/>
      <c r="S59" s="97"/>
      <c r="T59" s="97"/>
      <c r="W59" s="44"/>
    </row>
    <row r="60" spans="2:23" ht="15" customHeight="1">
      <c r="B60" s="9"/>
      <c r="C60" s="94"/>
      <c r="D60" s="94"/>
      <c r="E60" s="94"/>
      <c r="F60" s="94"/>
      <c r="G60" s="54"/>
      <c r="H60" s="54"/>
      <c r="I60" s="101">
        <f t="shared" si="0"/>
      </c>
      <c r="K60" s="252" t="str">
        <f t="shared" si="1"/>
        <v>---</v>
      </c>
      <c r="L60" s="97"/>
      <c r="M60" s="97"/>
      <c r="N60" s="97"/>
      <c r="O60" s="97"/>
      <c r="P60" s="97"/>
      <c r="Q60" s="97"/>
      <c r="R60" s="97"/>
      <c r="S60" s="97"/>
      <c r="T60" s="97"/>
      <c r="W60" s="44"/>
    </row>
    <row r="61" spans="2:23" ht="15" customHeight="1">
      <c r="B61" s="9"/>
      <c r="C61" s="94"/>
      <c r="D61" s="94"/>
      <c r="E61" s="94"/>
      <c r="F61" s="94"/>
      <c r="G61" s="54"/>
      <c r="H61" s="54"/>
      <c r="I61" s="101">
        <f t="shared" si="0"/>
      </c>
      <c r="K61" s="252" t="str">
        <f t="shared" si="1"/>
        <v>---</v>
      </c>
      <c r="L61" s="97"/>
      <c r="M61" s="97"/>
      <c r="N61" s="97"/>
      <c r="O61" s="97"/>
      <c r="P61" s="97"/>
      <c r="Q61" s="97"/>
      <c r="R61" s="97"/>
      <c r="S61" s="97"/>
      <c r="T61" s="97"/>
      <c r="W61" s="44"/>
    </row>
    <row r="62" spans="2:23" ht="15" customHeight="1">
      <c r="B62" s="9"/>
      <c r="C62" s="94"/>
      <c r="D62" s="94"/>
      <c r="E62" s="94"/>
      <c r="F62" s="94"/>
      <c r="G62" s="54"/>
      <c r="H62" s="54"/>
      <c r="I62" s="101">
        <f t="shared" si="0"/>
      </c>
      <c r="K62" s="252" t="str">
        <f t="shared" si="1"/>
        <v>---</v>
      </c>
      <c r="L62" s="97"/>
      <c r="M62" s="97"/>
      <c r="N62" s="97"/>
      <c r="O62" s="97"/>
      <c r="P62" s="97"/>
      <c r="Q62" s="97"/>
      <c r="R62" s="97"/>
      <c r="S62" s="97"/>
      <c r="T62" s="97"/>
      <c r="W62" s="44"/>
    </row>
    <row r="63" spans="2:23" ht="15" customHeight="1">
      <c r="B63" s="9"/>
      <c r="C63" s="94"/>
      <c r="D63" s="94"/>
      <c r="E63" s="94"/>
      <c r="F63" s="94"/>
      <c r="G63" s="54"/>
      <c r="H63" s="54"/>
      <c r="I63" s="101">
        <f t="shared" si="0"/>
      </c>
      <c r="K63" s="252" t="str">
        <f t="shared" si="1"/>
        <v>---</v>
      </c>
      <c r="L63" s="97"/>
      <c r="M63" s="97"/>
      <c r="N63" s="97"/>
      <c r="O63" s="97"/>
      <c r="P63" s="97"/>
      <c r="Q63" s="97"/>
      <c r="R63" s="97"/>
      <c r="S63" s="97"/>
      <c r="T63" s="97"/>
      <c r="W63" s="44"/>
    </row>
    <row r="64" spans="2:23" ht="15" customHeight="1">
      <c r="B64" s="9"/>
      <c r="C64" s="94"/>
      <c r="D64" s="94"/>
      <c r="E64" s="94"/>
      <c r="F64" s="94"/>
      <c r="G64" s="54"/>
      <c r="H64" s="54"/>
      <c r="I64" s="101">
        <f t="shared" si="0"/>
      </c>
      <c r="K64" s="252" t="str">
        <f t="shared" si="1"/>
        <v>---</v>
      </c>
      <c r="L64" s="97"/>
      <c r="M64" s="97"/>
      <c r="N64" s="97"/>
      <c r="O64" s="97"/>
      <c r="P64" s="97"/>
      <c r="Q64" s="97"/>
      <c r="R64" s="97"/>
      <c r="S64" s="97"/>
      <c r="T64" s="97"/>
      <c r="W64" s="44"/>
    </row>
    <row r="65" spans="2:23" ht="15" customHeight="1">
      <c r="B65" s="10"/>
      <c r="C65" s="96"/>
      <c r="D65" s="96"/>
      <c r="E65" s="96"/>
      <c r="F65" s="96"/>
      <c r="G65" s="55"/>
      <c r="H65" s="55"/>
      <c r="I65" s="101">
        <f t="shared" si="0"/>
      </c>
      <c r="K65" s="253" t="str">
        <f t="shared" si="1"/>
        <v>---</v>
      </c>
      <c r="L65" s="98"/>
      <c r="M65" s="98"/>
      <c r="N65" s="98"/>
      <c r="O65" s="98"/>
      <c r="P65" s="98"/>
      <c r="Q65" s="98"/>
      <c r="R65" s="98"/>
      <c r="S65" s="98"/>
      <c r="T65" s="98"/>
      <c r="W65" s="44"/>
    </row>
    <row r="66" spans="18:22" ht="12.75">
      <c r="R66" s="40"/>
      <c r="V66" s="44"/>
    </row>
    <row r="67" spans="2:22" ht="12.75">
      <c r="B67" s="42"/>
      <c r="C67" s="42"/>
      <c r="D67" s="42"/>
      <c r="E67" s="42"/>
      <c r="F67" s="42"/>
      <c r="K67" s="42"/>
      <c r="L67" s="42"/>
      <c r="R67" s="40"/>
      <c r="V67" s="44"/>
    </row>
    <row r="68" spans="2:22" ht="12.75">
      <c r="B68" s="42"/>
      <c r="C68" s="42"/>
      <c r="D68" s="42"/>
      <c r="E68" s="42"/>
      <c r="F68" s="42"/>
      <c r="K68" s="42"/>
      <c r="L68" s="42"/>
      <c r="R68" s="40"/>
      <c r="V68" s="44"/>
    </row>
    <row r="69" spans="2:22" ht="12.75">
      <c r="B69" s="42"/>
      <c r="C69" s="42"/>
      <c r="D69" s="42"/>
      <c r="E69" s="42"/>
      <c r="F69" s="42"/>
      <c r="K69" s="42"/>
      <c r="L69" s="42"/>
      <c r="R69" s="40"/>
      <c r="V69" s="44"/>
    </row>
    <row r="70" spans="18:22" ht="12.75">
      <c r="R70" s="40"/>
      <c r="V70" s="44"/>
    </row>
    <row r="71" spans="18:22" ht="12.75">
      <c r="R71" s="40"/>
      <c r="V71" s="44"/>
    </row>
    <row r="72" spans="18:22" ht="12.75">
      <c r="R72" s="40"/>
      <c r="V72" s="44"/>
    </row>
    <row r="73" spans="18:22" ht="12.75">
      <c r="R73" s="40"/>
      <c r="V73" s="44"/>
    </row>
    <row r="74" spans="18:22" ht="12.75">
      <c r="R74" s="40"/>
      <c r="V74" s="44"/>
    </row>
    <row r="75" spans="18:22" ht="12.75">
      <c r="R75" s="40"/>
      <c r="V75" s="44"/>
    </row>
    <row r="76" spans="18:22" ht="12.75">
      <c r="R76" s="40"/>
      <c r="V76" s="44"/>
    </row>
    <row r="77" spans="18:22" ht="12.75">
      <c r="R77" s="40"/>
      <c r="V77" s="44"/>
    </row>
    <row r="78" spans="18:22" ht="12.75">
      <c r="R78" s="40"/>
      <c r="V78" s="44"/>
    </row>
    <row r="79" spans="18:22" ht="12.75">
      <c r="R79" s="40"/>
      <c r="V79" s="44"/>
    </row>
    <row r="80" spans="18:22" ht="12.75">
      <c r="R80" s="40"/>
      <c r="V80" s="44"/>
    </row>
    <row r="81" spans="18:22" ht="12.75">
      <c r="R81" s="40"/>
      <c r="V81" s="44"/>
    </row>
    <row r="82" spans="18:22" ht="12.75">
      <c r="R82" s="40"/>
      <c r="V82" s="44"/>
    </row>
    <row r="83" spans="18:22" ht="12.75">
      <c r="R83" s="40"/>
      <c r="V83" s="44"/>
    </row>
  </sheetData>
  <sheetProtection sheet="1" objects="1" scenarios="1"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A65"/>
  <sheetViews>
    <sheetView showGridLines="0" zoomScale="95" zoomScaleNormal="95" workbookViewId="0" topLeftCell="A1">
      <selection activeCell="D26" sqref="D26"/>
    </sheetView>
  </sheetViews>
  <sheetFormatPr defaultColWidth="9.140625" defaultRowHeight="12.75"/>
  <cols>
    <col min="1" max="2" width="2.57421875" style="12" customWidth="1"/>
    <col min="3" max="3" width="4.140625" style="12" customWidth="1"/>
    <col min="4" max="4" width="9.57421875" style="12" customWidth="1"/>
    <col min="5" max="5" width="11.421875" style="12" customWidth="1"/>
    <col min="6" max="17" width="9.140625" style="12" customWidth="1"/>
    <col min="18" max="18" width="11.8515625" style="12" customWidth="1"/>
    <col min="19" max="23" width="9.140625" style="12" customWidth="1"/>
    <col min="24" max="16384" width="8.8515625" style="12" customWidth="1"/>
  </cols>
  <sheetData>
    <row r="1" spans="2:13" ht="21.75" customHeight="1">
      <c r="B1" s="41" t="s">
        <v>20</v>
      </c>
      <c r="D1" s="42"/>
      <c r="E1" s="42"/>
      <c r="F1" s="42"/>
      <c r="G1" s="88" t="s">
        <v>99</v>
      </c>
      <c r="H1" s="42"/>
      <c r="J1" s="42"/>
      <c r="K1" s="42"/>
      <c r="L1" s="42"/>
      <c r="M1" s="40"/>
    </row>
    <row r="2" spans="3:12" ht="18" customHeight="1">
      <c r="C2" s="45" t="s">
        <v>59</v>
      </c>
      <c r="D2" s="46"/>
      <c r="E2" s="42"/>
      <c r="F2" s="42"/>
      <c r="G2" s="42"/>
      <c r="H2" s="42"/>
      <c r="I2" s="42"/>
      <c r="J2" s="40"/>
      <c r="K2" s="42"/>
      <c r="L2" s="40"/>
    </row>
    <row r="3" spans="3:12" ht="15" customHeight="1">
      <c r="C3" s="104" t="s">
        <v>70</v>
      </c>
      <c r="D3" s="56" t="s">
        <v>109</v>
      </c>
      <c r="E3" s="57"/>
      <c r="F3" s="57"/>
      <c r="G3" s="57"/>
      <c r="H3" s="57"/>
      <c r="I3" s="57"/>
      <c r="J3" s="58"/>
      <c r="L3" s="40"/>
    </row>
    <row r="4" spans="3:12" ht="15" customHeight="1">
      <c r="C4" s="105" t="s">
        <v>71</v>
      </c>
      <c r="D4" s="12" t="s">
        <v>110</v>
      </c>
      <c r="E4" s="57"/>
      <c r="F4" s="57"/>
      <c r="G4" s="57"/>
      <c r="H4" s="57"/>
      <c r="I4" s="57"/>
      <c r="J4" s="40"/>
      <c r="K4" s="57"/>
      <c r="L4" s="40"/>
    </row>
    <row r="5" spans="3:12" ht="15" customHeight="1">
      <c r="C5" s="106" t="s">
        <v>72</v>
      </c>
      <c r="D5" s="42" t="s">
        <v>111</v>
      </c>
      <c r="E5" s="57"/>
      <c r="F5" s="57"/>
      <c r="G5" s="57"/>
      <c r="H5" s="57"/>
      <c r="I5" s="57"/>
      <c r="J5" s="40"/>
      <c r="K5" s="57"/>
      <c r="L5" s="40"/>
    </row>
    <row r="6" spans="4:12" ht="15" customHeight="1">
      <c r="D6" s="57" t="s">
        <v>112</v>
      </c>
      <c r="E6" s="57"/>
      <c r="F6" s="57"/>
      <c r="G6" s="57"/>
      <c r="H6" s="57"/>
      <c r="I6" s="57"/>
      <c r="J6" s="40"/>
      <c r="K6" s="57"/>
      <c r="L6" s="40"/>
    </row>
    <row r="7" spans="3:13" ht="15" customHeight="1">
      <c r="C7" s="59"/>
      <c r="E7" s="57"/>
      <c r="F7" s="57"/>
      <c r="G7" s="57"/>
      <c r="H7" s="57"/>
      <c r="I7" s="57"/>
      <c r="J7" s="57"/>
      <c r="K7" s="40"/>
      <c r="L7" s="57"/>
      <c r="M7" s="40"/>
    </row>
    <row r="8" spans="10:11" ht="15" customHeight="1">
      <c r="J8" s="60"/>
      <c r="K8" s="60"/>
    </row>
    <row r="9" spans="8:9" ht="15" customHeight="1">
      <c r="H9" s="61"/>
      <c r="I9" s="61"/>
    </row>
    <row r="10" ht="15" customHeight="1"/>
    <row r="11" spans="1:18" ht="15" customHeight="1">
      <c r="A11" s="62"/>
      <c r="B11" s="62"/>
      <c r="C11" s="62"/>
      <c r="D11" s="62"/>
      <c r="E11" s="62"/>
      <c r="F11" s="63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3:27" ht="24" customHeight="1" thickBot="1">
      <c r="C12" s="99" t="s">
        <v>65</v>
      </c>
      <c r="D12" s="90"/>
      <c r="E12" s="90"/>
      <c r="F12" s="27"/>
      <c r="G12" s="28"/>
      <c r="H12" s="27"/>
      <c r="I12" s="27"/>
      <c r="J12" s="27"/>
      <c r="K12" s="27"/>
      <c r="L12" s="27"/>
      <c r="M12" s="27"/>
      <c r="N12" s="27"/>
      <c r="O12" s="27"/>
      <c r="Q12" s="99" t="s">
        <v>74</v>
      </c>
      <c r="R12" s="100"/>
      <c r="T12" s="42"/>
      <c r="U12" s="42"/>
      <c r="V12" s="42"/>
      <c r="W12" s="42"/>
      <c r="X12" s="42"/>
      <c r="Y12" s="40"/>
      <c r="Z12" s="40"/>
      <c r="AA12" s="40"/>
    </row>
    <row r="13" spans="3:18" ht="13.5" thickTop="1">
      <c r="C13" s="130"/>
      <c r="D13" s="131" t="s">
        <v>113</v>
      </c>
      <c r="E13" s="132"/>
      <c r="I13" s="133" t="s">
        <v>66</v>
      </c>
      <c r="O13" s="134"/>
      <c r="Q13" s="40"/>
      <c r="R13" s="40"/>
    </row>
    <row r="14" spans="3:18" ht="12.75">
      <c r="C14" s="135"/>
      <c r="D14" s="136" t="s">
        <v>114</v>
      </c>
      <c r="E14" s="132"/>
      <c r="F14" s="137" t="str">
        <f>cat1</f>
        <v>SD</v>
      </c>
      <c r="G14" s="137" t="str">
        <f>IF(cat2="","",cat2)</f>
        <v>D</v>
      </c>
      <c r="H14" s="137" t="str">
        <f>IF(cat3="","",cat3)</f>
        <v>A</v>
      </c>
      <c r="I14" s="137" t="str">
        <f>IF(cat4="","",cat4)</f>
        <v>SA</v>
      </c>
      <c r="J14" s="137">
        <f>IF(cat5="","",cat5)</f>
      </c>
      <c r="K14" s="137">
        <f>IF(cat6="","",cat6)</f>
      </c>
      <c r="L14" s="137">
        <f>IF(cat7="","",cat7)</f>
      </c>
      <c r="M14" s="137">
        <f>IF(cat8="","",cat8)</f>
      </c>
      <c r="N14" s="137">
        <f>IF(cat9="","",cat9)</f>
      </c>
      <c r="O14" s="138">
        <f>IF(cat10="","",cat10)</f>
      </c>
      <c r="Q14" s="50" t="s">
        <v>1</v>
      </c>
      <c r="R14" s="116" t="s">
        <v>19</v>
      </c>
    </row>
    <row r="15" spans="3:18" ht="12.75">
      <c r="C15" s="130"/>
      <c r="E15" s="139"/>
      <c r="F15" s="140"/>
      <c r="G15" s="117"/>
      <c r="H15" s="117"/>
      <c r="I15" s="117"/>
      <c r="J15" s="117"/>
      <c r="K15" s="117"/>
      <c r="L15" s="141"/>
      <c r="M15" s="141"/>
      <c r="N15" s="141"/>
      <c r="O15" s="142"/>
      <c r="Q15" s="117"/>
      <c r="R15" s="117"/>
    </row>
    <row r="16" spans="3:18" ht="12.75">
      <c r="C16" s="130"/>
      <c r="E16" s="143" t="s">
        <v>3</v>
      </c>
      <c r="F16" s="144">
        <f>Tech!C23</f>
        <v>0.10982501982143111</v>
      </c>
      <c r="G16" s="145">
        <f>Tech!D23</f>
        <v>0.3305292949081199</v>
      </c>
      <c r="H16" s="145">
        <f>Tech!E23</f>
        <v>0.4004967073625006</v>
      </c>
      <c r="I16" s="145">
        <f>Tech!F23</f>
        <v>0.1591489779079484</v>
      </c>
      <c r="J16" s="145">
        <f>Tech!G23</f>
      </c>
      <c r="K16" s="145">
        <f>Tech!H23</f>
      </c>
      <c r="L16" s="145">
        <f>Tech!I23</f>
      </c>
      <c r="M16" s="145">
        <f>Tech!J23</f>
      </c>
      <c r="N16" s="145">
        <f>Tech!K23</f>
      </c>
      <c r="O16" s="146">
        <f>Tech!L23</f>
      </c>
      <c r="Q16" s="102" t="str">
        <f>RHV</f>
        <v>YR89</v>
      </c>
      <c r="R16" s="120">
        <f>IF(Bval="","---",Bval)</f>
        <v>0.4</v>
      </c>
    </row>
    <row r="17" spans="3:18" ht="12.75">
      <c r="C17" s="147"/>
      <c r="D17" s="148"/>
      <c r="E17" s="143" t="s">
        <v>2</v>
      </c>
      <c r="F17" s="144">
        <f>Tech!C24</f>
        <v>0.10982501982143111</v>
      </c>
      <c r="G17" s="145">
        <f>Tech!D24</f>
        <v>0.3305292949081199</v>
      </c>
      <c r="H17" s="145">
        <f>Tech!E24</f>
        <v>0.4004967073625006</v>
      </c>
      <c r="I17" s="145">
        <f>Tech!F24</f>
        <v>0.1591489779079484</v>
      </c>
      <c r="J17" s="145">
        <f>Tech!G24</f>
      </c>
      <c r="K17" s="145">
        <f>Tech!H24</f>
      </c>
      <c r="L17" s="145">
        <f>Tech!I24</f>
      </c>
      <c r="M17" s="145">
        <f>Tech!J24</f>
      </c>
      <c r="N17" s="145">
        <f>Tech!K24</f>
      </c>
      <c r="O17" s="146">
        <f>Tech!L24</f>
      </c>
      <c r="Q17" s="102" t="str">
        <f aca="true" t="shared" si="0" ref="Q17:Q65">IF(RHV="","---",RHV)</f>
        <v>MALE</v>
      </c>
      <c r="R17" s="123">
        <f aca="true" t="shared" si="1" ref="R17:R65">IF(Bval="","---",Bval)</f>
        <v>0.47</v>
      </c>
    </row>
    <row r="18" spans="3:18" ht="12.75">
      <c r="C18" s="147"/>
      <c r="D18" s="148"/>
      <c r="E18" s="143" t="s">
        <v>5</v>
      </c>
      <c r="F18" s="144">
        <f>Tech!C25</f>
        <v>0.17618929786578685</v>
      </c>
      <c r="G18" s="145">
        <f>Tech!D25</f>
        <v>0.22791132717962503</v>
      </c>
      <c r="H18" s="145">
        <f>Tech!E25</f>
        <v>0.3782774112369709</v>
      </c>
      <c r="I18" s="145">
        <f>Tech!F25</f>
        <v>0.21762196371761722</v>
      </c>
      <c r="J18" s="145">
        <f>Tech!G25</f>
      </c>
      <c r="K18" s="145">
        <f>Tech!H25</f>
      </c>
      <c r="L18" s="145">
        <f>Tech!I25</f>
      </c>
      <c r="M18" s="145">
        <f>Tech!J25</f>
      </c>
      <c r="N18" s="145">
        <f>Tech!K25</f>
      </c>
      <c r="O18" s="146">
        <f>Tech!L25</f>
      </c>
      <c r="Q18" s="102" t="str">
        <f t="shared" si="0"/>
        <v>WHITE</v>
      </c>
      <c r="R18" s="123">
        <f t="shared" si="1"/>
        <v>0.88</v>
      </c>
    </row>
    <row r="19" spans="3:18" ht="12.75">
      <c r="C19" s="149"/>
      <c r="D19" s="150"/>
      <c r="E19" s="151" t="s">
        <v>6</v>
      </c>
      <c r="F19" s="152">
        <f>Tech!C26</f>
        <v>0.07912951220169462</v>
      </c>
      <c r="G19" s="153">
        <f>Tech!D26</f>
        <v>0.44810864510839177</v>
      </c>
      <c r="H19" s="153">
        <f>Tech!E26</f>
        <v>0.3782920835974693</v>
      </c>
      <c r="I19" s="153">
        <f>Tech!F26</f>
        <v>0.09446975909244432</v>
      </c>
      <c r="J19" s="153">
        <f>Tech!G26</f>
      </c>
      <c r="K19" s="153">
        <f>Tech!H26</f>
      </c>
      <c r="L19" s="153">
        <f>Tech!I26</f>
      </c>
      <c r="M19" s="153">
        <f>Tech!J26</f>
      </c>
      <c r="N19" s="153">
        <f>Tech!K26</f>
      </c>
      <c r="O19" s="154">
        <f>Tech!L26</f>
      </c>
      <c r="Q19" s="102" t="str">
        <f t="shared" si="0"/>
        <v>AGE</v>
      </c>
      <c r="R19" s="123">
        <f t="shared" si="1"/>
        <v>44.94</v>
      </c>
    </row>
    <row r="20" spans="3:18" ht="12.75">
      <c r="C20" s="155" t="s">
        <v>67</v>
      </c>
      <c r="D20" s="42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Q20" s="102" t="str">
        <f t="shared" si="0"/>
        <v>ED</v>
      </c>
      <c r="R20" s="123">
        <f t="shared" si="1"/>
        <v>12.22</v>
      </c>
    </row>
    <row r="21" spans="3:18" ht="12.75">
      <c r="C21" s="147"/>
      <c r="D21" s="131" t="s">
        <v>68</v>
      </c>
      <c r="E21" s="42"/>
      <c r="F21" s="42"/>
      <c r="G21" s="42"/>
      <c r="H21" s="42"/>
      <c r="I21" s="42"/>
      <c r="J21" s="42"/>
      <c r="K21" s="42"/>
      <c r="O21" s="159"/>
      <c r="Q21" s="102" t="str">
        <f t="shared" si="0"/>
        <v>PRST</v>
      </c>
      <c r="R21" s="123">
        <f t="shared" si="1"/>
        <v>39.59</v>
      </c>
    </row>
    <row r="22" spans="3:18" ht="12.75">
      <c r="C22" s="160"/>
      <c r="D22" s="42"/>
      <c r="E22" s="42"/>
      <c r="F22" s="42"/>
      <c r="G22" s="42"/>
      <c r="H22" s="42"/>
      <c r="I22" s="120" t="s">
        <v>69</v>
      </c>
      <c r="J22" s="42"/>
      <c r="K22" s="42"/>
      <c r="O22" s="159"/>
      <c r="Q22" s="102" t="str">
        <f t="shared" si="0"/>
        <v>---</v>
      </c>
      <c r="R22" s="123" t="str">
        <f t="shared" si="1"/>
        <v>---</v>
      </c>
    </row>
    <row r="23" spans="3:18" ht="12.75">
      <c r="C23" s="160"/>
      <c r="D23" s="50"/>
      <c r="E23" s="50"/>
      <c r="F23" s="161" t="str">
        <f>F14</f>
        <v>SD</v>
      </c>
      <c r="G23" s="161" t="str">
        <f>IF(G14="","",G14)</f>
        <v>D</v>
      </c>
      <c r="H23" s="137" t="str">
        <f aca="true" t="shared" si="2" ref="H23:O23">IF(H14="","",H14)</f>
        <v>A</v>
      </c>
      <c r="I23" s="137" t="str">
        <f t="shared" si="2"/>
        <v>SA</v>
      </c>
      <c r="J23" s="137">
        <f t="shared" si="2"/>
      </c>
      <c r="K23" s="137">
        <f t="shared" si="2"/>
      </c>
      <c r="L23" s="137">
        <f t="shared" si="2"/>
      </c>
      <c r="M23" s="137">
        <f t="shared" si="2"/>
      </c>
      <c r="N23" s="137">
        <f t="shared" si="2"/>
      </c>
      <c r="O23" s="138">
        <f t="shared" si="2"/>
      </c>
      <c r="Q23" s="102" t="str">
        <f t="shared" si="0"/>
        <v>---</v>
      </c>
      <c r="R23" s="123" t="str">
        <f t="shared" si="1"/>
        <v>---</v>
      </c>
    </row>
    <row r="24" spans="3:18" ht="12.75">
      <c r="C24" s="64"/>
      <c r="D24" s="65"/>
      <c r="E24" s="66">
        <v>0</v>
      </c>
      <c r="F24" s="162">
        <f>Tech!C36</f>
        <v>0.15313392758750743</v>
      </c>
      <c r="G24" s="163">
        <f>Tech!D36</f>
        <v>0.34057242108319474</v>
      </c>
      <c r="H24" s="163">
        <f>Tech!E36</f>
        <v>0.364084462914384</v>
      </c>
      <c r="I24" s="163">
        <f>Tech!F36</f>
        <v>0.14220918841491378</v>
      </c>
      <c r="J24" s="163">
        <f>Tech!G36</f>
      </c>
      <c r="K24" s="163">
        <f>Tech!H36</f>
      </c>
      <c r="L24" s="163">
        <f>Tech!I36</f>
      </c>
      <c r="M24" s="163">
        <f>Tech!J36</f>
      </c>
      <c r="N24" s="163">
        <f>Tech!K36</f>
      </c>
      <c r="O24" s="164">
        <f>Tech!L36</f>
      </c>
      <c r="Q24" s="102" t="str">
        <f t="shared" si="0"/>
        <v>---</v>
      </c>
      <c r="R24" s="123" t="str">
        <f t="shared" si="1"/>
        <v>---</v>
      </c>
    </row>
    <row r="25" spans="3:18" ht="12.75">
      <c r="C25" s="67"/>
      <c r="D25" s="68"/>
      <c r="E25" s="69">
        <v>1</v>
      </c>
      <c r="F25" s="165">
        <f>Tech!C37</f>
        <v>0.06501091479021426</v>
      </c>
      <c r="G25" s="166">
        <f>Tech!D37</f>
        <v>0.2981787590119752</v>
      </c>
      <c r="H25" s="166">
        <f>Tech!E37</f>
        <v>0.4492350049857293</v>
      </c>
      <c r="I25" s="166">
        <f>Tech!F37</f>
        <v>0.18757532121208123</v>
      </c>
      <c r="J25" s="166">
        <f>Tech!G37</f>
      </c>
      <c r="K25" s="166">
        <f>Tech!H37</f>
      </c>
      <c r="L25" s="166">
        <f>Tech!I37</f>
      </c>
      <c r="M25" s="166">
        <f>Tech!J37</f>
      </c>
      <c r="N25" s="166">
        <f>Tech!K37</f>
      </c>
      <c r="O25" s="167">
        <f>Tech!L37</f>
      </c>
      <c r="Q25" s="102" t="str">
        <f t="shared" si="0"/>
        <v>---</v>
      </c>
      <c r="R25" s="123" t="str">
        <f t="shared" si="1"/>
        <v>---</v>
      </c>
    </row>
    <row r="26" spans="3:18" ht="12.75">
      <c r="C26" s="70" t="s">
        <v>70</v>
      </c>
      <c r="D26" s="71" t="s">
        <v>76</v>
      </c>
      <c r="E26" s="69"/>
      <c r="F26" s="165">
        <f>Tech!C38</f>
      </c>
      <c r="G26" s="166">
        <f>Tech!D38</f>
      </c>
      <c r="H26" s="166">
        <f>Tech!E38</f>
      </c>
      <c r="I26" s="166">
        <f>Tech!F38</f>
      </c>
      <c r="J26" s="166">
        <f>Tech!G38</f>
      </c>
      <c r="K26" s="166">
        <f>Tech!H38</f>
      </c>
      <c r="L26" s="166">
        <f>Tech!I38</f>
      </c>
      <c r="M26" s="166">
        <f>Tech!J38</f>
      </c>
      <c r="N26" s="166">
        <f>Tech!K38</f>
      </c>
      <c r="O26" s="167">
        <f>Tech!L38</f>
      </c>
      <c r="Q26" s="102" t="str">
        <f t="shared" si="0"/>
        <v>---</v>
      </c>
      <c r="R26" s="123" t="str">
        <f t="shared" si="1"/>
        <v>---</v>
      </c>
    </row>
    <row r="27" spans="3:18" ht="12.75">
      <c r="C27" s="72"/>
      <c r="D27" s="73"/>
      <c r="E27" s="69"/>
      <c r="F27" s="165">
        <f>Tech!C39</f>
      </c>
      <c r="G27" s="166">
        <f>Tech!D39</f>
      </c>
      <c r="H27" s="166">
        <f>Tech!E39</f>
      </c>
      <c r="I27" s="166">
        <f>Tech!F39</f>
      </c>
      <c r="J27" s="166">
        <f>Tech!G39</f>
      </c>
      <c r="K27" s="166">
        <f>Tech!H39</f>
      </c>
      <c r="L27" s="166">
        <f>Tech!I39</f>
      </c>
      <c r="M27" s="166">
        <f>Tech!J39</f>
      </c>
      <c r="N27" s="166">
        <f>Tech!K39</f>
      </c>
      <c r="O27" s="167">
        <f>Tech!L39</f>
      </c>
      <c r="Q27" s="102" t="str">
        <f t="shared" si="0"/>
        <v>---</v>
      </c>
      <c r="R27" s="123" t="str">
        <f t="shared" si="1"/>
        <v>---</v>
      </c>
    </row>
    <row r="28" spans="3:18" ht="12.75">
      <c r="C28" s="72"/>
      <c r="D28" s="73"/>
      <c r="E28" s="69"/>
      <c r="F28" s="168">
        <f>Tech!C40</f>
      </c>
      <c r="G28" s="169">
        <f>Tech!D40</f>
      </c>
      <c r="H28" s="169">
        <f>Tech!E40</f>
      </c>
      <c r="I28" s="169">
        <f>Tech!F40</f>
      </c>
      <c r="J28" s="169">
        <f>Tech!G40</f>
      </c>
      <c r="K28" s="169">
        <f>Tech!H40</f>
      </c>
      <c r="L28" s="169">
        <f>Tech!I40</f>
      </c>
      <c r="M28" s="169">
        <f>Tech!J40</f>
      </c>
      <c r="N28" s="169">
        <f>Tech!K40</f>
      </c>
      <c r="O28" s="170">
        <f>Tech!L40</f>
      </c>
      <c r="Q28" s="102" t="str">
        <f t="shared" si="0"/>
        <v>---</v>
      </c>
      <c r="R28" s="123" t="str">
        <f t="shared" si="1"/>
        <v>---</v>
      </c>
    </row>
    <row r="29" spans="3:18" ht="12.75">
      <c r="C29" s="74"/>
      <c r="D29" s="75"/>
      <c r="E29" s="76">
        <v>0</v>
      </c>
      <c r="F29" s="165">
        <f>Tech!C50</f>
        <v>0.07190360651898431</v>
      </c>
      <c r="G29" s="166">
        <f>Tech!D50</f>
        <v>0.2946454845412204</v>
      </c>
      <c r="H29" s="166">
        <f>Tech!E50</f>
        <v>0.4246784707721941</v>
      </c>
      <c r="I29" s="166">
        <f>Tech!F50</f>
        <v>0.20877243816760116</v>
      </c>
      <c r="J29" s="166">
        <f>Tech!G50</f>
      </c>
      <c r="K29" s="166">
        <f>Tech!H50</f>
      </c>
      <c r="L29" s="166">
        <f>Tech!I50</f>
      </c>
      <c r="M29" s="166">
        <f>Tech!J50</f>
      </c>
      <c r="N29" s="166">
        <f>Tech!K50</f>
      </c>
      <c r="O29" s="167">
        <f>Tech!L50</f>
      </c>
      <c r="Q29" s="102" t="str">
        <f t="shared" si="0"/>
        <v>---</v>
      </c>
      <c r="R29" s="123" t="str">
        <f t="shared" si="1"/>
        <v>---</v>
      </c>
    </row>
    <row r="30" spans="3:18" ht="12.75">
      <c r="C30" s="67"/>
      <c r="D30" s="68"/>
      <c r="E30" s="69">
        <v>1</v>
      </c>
      <c r="F30" s="165">
        <f>Tech!C51</f>
        <v>0.11618310447140212</v>
      </c>
      <c r="G30" s="166">
        <f>Tech!D51</f>
        <v>0.3345234966445283</v>
      </c>
      <c r="H30" s="166">
        <f>Tech!E51</f>
        <v>0.39611389338266745</v>
      </c>
      <c r="I30" s="166">
        <f>Tech!F51</f>
        <v>0.1531795055014021</v>
      </c>
      <c r="J30" s="166">
        <f>Tech!G51</f>
      </c>
      <c r="K30" s="166">
        <f>Tech!H51</f>
      </c>
      <c r="L30" s="166">
        <f>Tech!I51</f>
      </c>
      <c r="M30" s="166">
        <f>Tech!J51</f>
      </c>
      <c r="N30" s="166">
        <f>Tech!K51</f>
      </c>
      <c r="O30" s="167">
        <f>Tech!L51</f>
      </c>
      <c r="Q30" s="102" t="str">
        <f t="shared" si="0"/>
        <v>---</v>
      </c>
      <c r="R30" s="123" t="str">
        <f t="shared" si="1"/>
        <v>---</v>
      </c>
    </row>
    <row r="31" spans="3:18" ht="12.75">
      <c r="C31" s="70" t="s">
        <v>71</v>
      </c>
      <c r="D31" s="71" t="s">
        <v>22</v>
      </c>
      <c r="E31" s="69"/>
      <c r="F31" s="165">
        <f>Tech!C52</f>
      </c>
      <c r="G31" s="166">
        <f>Tech!D52</f>
      </c>
      <c r="H31" s="166">
        <f>Tech!E52</f>
      </c>
      <c r="I31" s="166">
        <f>Tech!F52</f>
      </c>
      <c r="J31" s="166">
        <f>Tech!G52</f>
      </c>
      <c r="K31" s="166">
        <f>Tech!H52</f>
      </c>
      <c r="L31" s="166">
        <f>Tech!I52</f>
      </c>
      <c r="M31" s="166">
        <f>Tech!J52</f>
      </c>
      <c r="N31" s="166">
        <f>Tech!K52</f>
      </c>
      <c r="O31" s="167">
        <f>Tech!L52</f>
      </c>
      <c r="Q31" s="102" t="str">
        <f t="shared" si="0"/>
        <v>---</v>
      </c>
      <c r="R31" s="123" t="str">
        <f t="shared" si="1"/>
        <v>---</v>
      </c>
    </row>
    <row r="32" spans="3:18" ht="12.75">
      <c r="C32" s="72"/>
      <c r="D32" s="73"/>
      <c r="E32" s="69"/>
      <c r="F32" s="165">
        <f>Tech!C53</f>
      </c>
      <c r="G32" s="166">
        <f>Tech!D53</f>
      </c>
      <c r="H32" s="166">
        <f>Tech!E53</f>
      </c>
      <c r="I32" s="166">
        <f>Tech!F53</f>
      </c>
      <c r="J32" s="166">
        <f>Tech!G53</f>
      </c>
      <c r="K32" s="166">
        <f>Tech!H53</f>
      </c>
      <c r="L32" s="166">
        <f>Tech!I53</f>
      </c>
      <c r="M32" s="166">
        <f>Tech!J53</f>
      </c>
      <c r="N32" s="166">
        <f>Tech!K53</f>
      </c>
      <c r="O32" s="167">
        <f>Tech!L53</f>
      </c>
      <c r="Q32" s="102" t="str">
        <f t="shared" si="0"/>
        <v>---</v>
      </c>
      <c r="R32" s="123" t="str">
        <f t="shared" si="1"/>
        <v>---</v>
      </c>
    </row>
    <row r="33" spans="3:18" ht="12.75">
      <c r="C33" s="77"/>
      <c r="D33" s="78"/>
      <c r="E33" s="79"/>
      <c r="F33" s="168">
        <f>Tech!C54</f>
      </c>
      <c r="G33" s="169">
        <f>Tech!D54</f>
      </c>
      <c r="H33" s="169">
        <f>Tech!E54</f>
      </c>
      <c r="I33" s="169">
        <f>Tech!F54</f>
      </c>
      <c r="J33" s="169">
        <f>Tech!G54</f>
      </c>
      <c r="K33" s="169">
        <f>Tech!H54</f>
      </c>
      <c r="L33" s="169">
        <f>Tech!I54</f>
      </c>
      <c r="M33" s="169">
        <f>Tech!J54</f>
      </c>
      <c r="N33" s="169">
        <f>Tech!K54</f>
      </c>
      <c r="O33" s="170">
        <f>Tech!L54</f>
      </c>
      <c r="Q33" s="102" t="str">
        <f t="shared" si="0"/>
        <v>---</v>
      </c>
      <c r="R33" s="123" t="str">
        <f t="shared" si="1"/>
        <v>---</v>
      </c>
    </row>
    <row r="34" spans="3:18" ht="12.75">
      <c r="C34" s="72"/>
      <c r="D34" s="73"/>
      <c r="E34" s="69">
        <v>20</v>
      </c>
      <c r="F34" s="171">
        <f>Tech!C64</f>
        <v>0.07583969125306023</v>
      </c>
      <c r="G34" s="172">
        <f>Tech!D64</f>
        <v>0.22094928984089113</v>
      </c>
      <c r="H34" s="172">
        <f>Tech!E64</f>
        <v>0.47145820306033304</v>
      </c>
      <c r="I34" s="172">
        <f>Tech!F64</f>
        <v>0.2317528158457156</v>
      </c>
      <c r="J34" s="172">
        <f>Tech!G64</f>
      </c>
      <c r="K34" s="172">
        <f>Tech!H64</f>
      </c>
      <c r="L34" s="172">
        <f>Tech!I64</f>
      </c>
      <c r="M34" s="172">
        <f>Tech!J64</f>
      </c>
      <c r="N34" s="172">
        <f>Tech!K64</f>
      </c>
      <c r="O34" s="173">
        <f>Tech!L64</f>
      </c>
      <c r="Q34" s="102" t="str">
        <f t="shared" si="0"/>
        <v>---</v>
      </c>
      <c r="R34" s="123" t="str">
        <f t="shared" si="1"/>
        <v>---</v>
      </c>
    </row>
    <row r="35" spans="3:18" ht="12.75">
      <c r="C35" s="67"/>
      <c r="D35" s="68"/>
      <c r="E35" s="69">
        <v>30</v>
      </c>
      <c r="F35" s="165">
        <f>Tech!C65</f>
        <v>0.0881225003970777</v>
      </c>
      <c r="G35" s="166">
        <f>Tech!D65</f>
        <v>0.26328191829009395</v>
      </c>
      <c r="H35" s="166">
        <f>Tech!E65</f>
        <v>0.44844318897367286</v>
      </c>
      <c r="I35" s="166">
        <f>Tech!F65</f>
        <v>0.20015239233915547</v>
      </c>
      <c r="J35" s="166">
        <f>Tech!G65</f>
      </c>
      <c r="K35" s="166">
        <f>Tech!H65</f>
      </c>
      <c r="L35" s="166">
        <f>Tech!I65</f>
      </c>
      <c r="M35" s="166">
        <f>Tech!J65</f>
      </c>
      <c r="N35" s="166">
        <f>Tech!K65</f>
      </c>
      <c r="O35" s="167">
        <f>Tech!L65</f>
      </c>
      <c r="Q35" s="102" t="str">
        <f t="shared" si="0"/>
        <v>---</v>
      </c>
      <c r="R35" s="123" t="str">
        <f t="shared" si="1"/>
        <v>---</v>
      </c>
    </row>
    <row r="36" spans="3:18" ht="12.75">
      <c r="C36" s="70" t="s">
        <v>72</v>
      </c>
      <c r="D36" s="71" t="s">
        <v>23</v>
      </c>
      <c r="E36" s="69">
        <v>40</v>
      </c>
      <c r="F36" s="165">
        <f>Tech!C66</f>
        <v>0.10217466776791762</v>
      </c>
      <c r="G36" s="166">
        <f>Tech!D66</f>
        <v>0.3080328370442633</v>
      </c>
      <c r="H36" s="166">
        <f>Tech!E66</f>
        <v>0.41789579389802717</v>
      </c>
      <c r="I36" s="166">
        <f>Tech!F66</f>
        <v>0.1718967012897919</v>
      </c>
      <c r="J36" s="166">
        <f>Tech!G66</f>
      </c>
      <c r="K36" s="166">
        <f>Tech!H66</f>
      </c>
      <c r="L36" s="166">
        <f>Tech!I66</f>
      </c>
      <c r="M36" s="166">
        <f>Tech!J66</f>
      </c>
      <c r="N36" s="166">
        <f>Tech!K66</f>
      </c>
      <c r="O36" s="167">
        <f>Tech!L66</f>
      </c>
      <c r="Q36" s="102" t="str">
        <f t="shared" si="0"/>
        <v>---</v>
      </c>
      <c r="R36" s="123" t="str">
        <f t="shared" si="1"/>
        <v>---</v>
      </c>
    </row>
    <row r="37" spans="3:18" ht="12.75">
      <c r="C37" s="72"/>
      <c r="D37" s="73"/>
      <c r="E37" s="69">
        <v>50</v>
      </c>
      <c r="F37" s="165">
        <f>Tech!C67</f>
        <v>0.11817721790644287</v>
      </c>
      <c r="G37" s="166">
        <f>Tech!D67</f>
        <v>0.35351717085088274</v>
      </c>
      <c r="H37" s="166">
        <f>Tech!E67</f>
        <v>0.38140830439065193</v>
      </c>
      <c r="I37" s="166">
        <f>Tech!F67</f>
        <v>0.14689730685202246</v>
      </c>
      <c r="J37" s="166">
        <f>Tech!G67</f>
      </c>
      <c r="K37" s="166">
        <f>Tech!H67</f>
      </c>
      <c r="L37" s="166">
        <f>Tech!I67</f>
      </c>
      <c r="M37" s="166">
        <f>Tech!J67</f>
      </c>
      <c r="N37" s="166">
        <f>Tech!K67</f>
      </c>
      <c r="O37" s="167">
        <f>Tech!L67</f>
      </c>
      <c r="Q37" s="102" t="str">
        <f t="shared" si="0"/>
        <v>---</v>
      </c>
      <c r="R37" s="123" t="str">
        <f t="shared" si="1"/>
        <v>---</v>
      </c>
    </row>
    <row r="38" spans="3:18" ht="12.75">
      <c r="C38" s="80"/>
      <c r="D38" s="81"/>
      <c r="E38" s="82">
        <v>60</v>
      </c>
      <c r="F38" s="174">
        <f>Tech!C68</f>
        <v>0.1363055782010658</v>
      </c>
      <c r="G38" s="175">
        <f>Tech!D68</f>
        <v>0.39774671951663154</v>
      </c>
      <c r="H38" s="175">
        <f>Tech!E68</f>
        <v>0.34096279874480595</v>
      </c>
      <c r="I38" s="175">
        <f>Tech!F68</f>
        <v>0.12498490353749668</v>
      </c>
      <c r="J38" s="175">
        <f>Tech!G68</f>
      </c>
      <c r="K38" s="175">
        <f>Tech!H68</f>
      </c>
      <c r="L38" s="175">
        <f>Tech!I68</f>
      </c>
      <c r="M38" s="175">
        <f>Tech!J68</f>
      </c>
      <c r="N38" s="175">
        <f>Tech!K68</f>
      </c>
      <c r="O38" s="176">
        <f>Tech!L68</f>
      </c>
      <c r="Q38" s="102" t="str">
        <f t="shared" si="0"/>
        <v>---</v>
      </c>
      <c r="R38" s="123" t="str">
        <f t="shared" si="1"/>
        <v>---</v>
      </c>
    </row>
    <row r="39" spans="3:18" ht="12.75">
      <c r="C39" s="177"/>
      <c r="D39" s="141"/>
      <c r="E39" s="141"/>
      <c r="O39" s="159"/>
      <c r="Q39" s="102" t="str">
        <f t="shared" si="0"/>
        <v>---</v>
      </c>
      <c r="R39" s="123" t="str">
        <f t="shared" si="1"/>
        <v>---</v>
      </c>
    </row>
    <row r="40" spans="3:18" ht="12.75">
      <c r="C40" s="160"/>
      <c r="D40" s="42"/>
      <c r="E40" s="42"/>
      <c r="F40" s="42"/>
      <c r="G40" s="42"/>
      <c r="H40" s="42"/>
      <c r="I40" s="120" t="s">
        <v>73</v>
      </c>
      <c r="J40" s="42"/>
      <c r="K40" s="42"/>
      <c r="O40" s="159"/>
      <c r="Q40" s="102" t="str">
        <f t="shared" si="0"/>
        <v>---</v>
      </c>
      <c r="R40" s="123" t="str">
        <f t="shared" si="1"/>
        <v>---</v>
      </c>
    </row>
    <row r="41" spans="3:18" ht="12.75">
      <c r="C41" s="160"/>
      <c r="D41" s="50"/>
      <c r="E41" s="50"/>
      <c r="F41" s="161" t="str">
        <f>F14</f>
        <v>SD</v>
      </c>
      <c r="G41" s="161" t="str">
        <f>IF(G14="","",G14)</f>
        <v>D</v>
      </c>
      <c r="H41" s="137" t="str">
        <f aca="true" t="shared" si="3" ref="H41:O41">IF(H14="","",H14)</f>
        <v>A</v>
      </c>
      <c r="I41" s="137" t="str">
        <f t="shared" si="3"/>
        <v>SA</v>
      </c>
      <c r="J41" s="137">
        <f t="shared" si="3"/>
      </c>
      <c r="K41" s="137">
        <f t="shared" si="3"/>
      </c>
      <c r="L41" s="137">
        <f t="shared" si="3"/>
      </c>
      <c r="M41" s="137">
        <f t="shared" si="3"/>
      </c>
      <c r="N41" s="137">
        <f t="shared" si="3"/>
      </c>
      <c r="O41" s="138">
        <f t="shared" si="3"/>
      </c>
      <c r="Q41" s="102" t="str">
        <f t="shared" si="0"/>
        <v>---</v>
      </c>
      <c r="R41" s="123" t="str">
        <f t="shared" si="1"/>
        <v>---</v>
      </c>
    </row>
    <row r="42" spans="3:18" ht="12.75">
      <c r="C42" s="64"/>
      <c r="D42" s="65"/>
      <c r="E42" s="178">
        <f>IF(E24="","",E24)</f>
        <v>0</v>
      </c>
      <c r="F42" s="162">
        <f>IF(F24="","",F24)</f>
        <v>0.15313392758750743</v>
      </c>
      <c r="G42" s="163">
        <f aca="true" t="shared" si="4" ref="G42:O42">IF(G24="","",G24+F42)</f>
        <v>0.4937063486707022</v>
      </c>
      <c r="H42" s="163">
        <f t="shared" si="4"/>
        <v>0.8577908115850862</v>
      </c>
      <c r="I42" s="163">
        <f t="shared" si="4"/>
        <v>1</v>
      </c>
      <c r="J42" s="163">
        <f t="shared" si="4"/>
      </c>
      <c r="K42" s="163">
        <f t="shared" si="4"/>
      </c>
      <c r="L42" s="163">
        <f t="shared" si="4"/>
      </c>
      <c r="M42" s="163">
        <f t="shared" si="4"/>
      </c>
      <c r="N42" s="163">
        <f t="shared" si="4"/>
      </c>
      <c r="O42" s="164">
        <f t="shared" si="4"/>
      </c>
      <c r="Q42" s="102" t="str">
        <f t="shared" si="0"/>
        <v>---</v>
      </c>
      <c r="R42" s="123" t="str">
        <f t="shared" si="1"/>
        <v>---</v>
      </c>
    </row>
    <row r="43" spans="3:18" ht="12.75">
      <c r="C43" s="67"/>
      <c r="D43" s="68"/>
      <c r="E43" s="179">
        <f aca="true" t="shared" si="5" ref="E43:F56">IF(E25="","",E25)</f>
        <v>1</v>
      </c>
      <c r="F43" s="165">
        <f t="shared" si="5"/>
        <v>0.06501091479021426</v>
      </c>
      <c r="G43" s="166">
        <f aca="true" t="shared" si="6" ref="G43:O43">IF(G25="","",G25+F43)</f>
        <v>0.36318967380218947</v>
      </c>
      <c r="H43" s="166">
        <f t="shared" si="6"/>
        <v>0.8124246787879188</v>
      </c>
      <c r="I43" s="166">
        <f t="shared" si="6"/>
        <v>1</v>
      </c>
      <c r="J43" s="166">
        <f t="shared" si="6"/>
      </c>
      <c r="K43" s="166">
        <f t="shared" si="6"/>
      </c>
      <c r="L43" s="166">
        <f t="shared" si="6"/>
      </c>
      <c r="M43" s="166">
        <f t="shared" si="6"/>
      </c>
      <c r="N43" s="166">
        <f t="shared" si="6"/>
      </c>
      <c r="O43" s="167">
        <f t="shared" si="6"/>
      </c>
      <c r="Q43" s="102" t="str">
        <f t="shared" si="0"/>
        <v>---</v>
      </c>
      <c r="R43" s="123" t="str">
        <f t="shared" si="1"/>
        <v>---</v>
      </c>
    </row>
    <row r="44" spans="3:18" ht="12.75">
      <c r="C44" s="70" t="s">
        <v>70</v>
      </c>
      <c r="D44" s="180" t="str">
        <f>IF(vtoc1="","",vtoc1)</f>
        <v>Yr89</v>
      </c>
      <c r="E44" s="179">
        <f t="shared" si="5"/>
      </c>
      <c r="F44" s="165">
        <f t="shared" si="5"/>
      </c>
      <c r="G44" s="166">
        <f aca="true" t="shared" si="7" ref="G44:O44">IF(G26="","",G26+F44)</f>
      </c>
      <c r="H44" s="166">
        <f t="shared" si="7"/>
      </c>
      <c r="I44" s="166">
        <f t="shared" si="7"/>
      </c>
      <c r="J44" s="166">
        <f t="shared" si="7"/>
      </c>
      <c r="K44" s="166">
        <f t="shared" si="7"/>
      </c>
      <c r="L44" s="166">
        <f t="shared" si="7"/>
      </c>
      <c r="M44" s="166">
        <f t="shared" si="7"/>
      </c>
      <c r="N44" s="166">
        <f t="shared" si="7"/>
      </c>
      <c r="O44" s="167">
        <f t="shared" si="7"/>
      </c>
      <c r="Q44" s="102" t="str">
        <f t="shared" si="0"/>
        <v>---</v>
      </c>
      <c r="R44" s="123" t="str">
        <f t="shared" si="1"/>
        <v>---</v>
      </c>
    </row>
    <row r="45" spans="3:18" ht="12.75">
      <c r="C45" s="72"/>
      <c r="D45" s="73"/>
      <c r="E45" s="179">
        <f t="shared" si="5"/>
      </c>
      <c r="F45" s="165">
        <f t="shared" si="5"/>
      </c>
      <c r="G45" s="166">
        <f aca="true" t="shared" si="8" ref="G45:O45">IF(G27="","",G27+F45)</f>
      </c>
      <c r="H45" s="166">
        <f t="shared" si="8"/>
      </c>
      <c r="I45" s="166">
        <f t="shared" si="8"/>
      </c>
      <c r="J45" s="166">
        <f t="shared" si="8"/>
      </c>
      <c r="K45" s="166">
        <f t="shared" si="8"/>
      </c>
      <c r="L45" s="166">
        <f t="shared" si="8"/>
      </c>
      <c r="M45" s="166">
        <f t="shared" si="8"/>
      </c>
      <c r="N45" s="166">
        <f t="shared" si="8"/>
      </c>
      <c r="O45" s="167">
        <f t="shared" si="8"/>
      </c>
      <c r="Q45" s="102" t="str">
        <f t="shared" si="0"/>
        <v>---</v>
      </c>
      <c r="R45" s="123" t="str">
        <f t="shared" si="1"/>
        <v>---</v>
      </c>
    </row>
    <row r="46" spans="3:18" ht="12.75">
      <c r="C46" s="72"/>
      <c r="D46" s="73"/>
      <c r="E46" s="179">
        <f t="shared" si="5"/>
      </c>
      <c r="F46" s="165">
        <f t="shared" si="5"/>
      </c>
      <c r="G46" s="166">
        <f aca="true" t="shared" si="9" ref="G46:O46">IF(G28="","",G28+F46)</f>
      </c>
      <c r="H46" s="166">
        <f t="shared" si="9"/>
      </c>
      <c r="I46" s="166">
        <f t="shared" si="9"/>
      </c>
      <c r="J46" s="166">
        <f t="shared" si="9"/>
      </c>
      <c r="K46" s="166">
        <f t="shared" si="9"/>
      </c>
      <c r="L46" s="166">
        <f t="shared" si="9"/>
      </c>
      <c r="M46" s="166">
        <f t="shared" si="9"/>
      </c>
      <c r="N46" s="166">
        <f t="shared" si="9"/>
      </c>
      <c r="O46" s="167">
        <f t="shared" si="9"/>
      </c>
      <c r="Q46" s="102" t="str">
        <f t="shared" si="0"/>
        <v>---</v>
      </c>
      <c r="R46" s="123" t="str">
        <f t="shared" si="1"/>
        <v>---</v>
      </c>
    </row>
    <row r="47" spans="3:18" ht="12.75">
      <c r="C47" s="74"/>
      <c r="D47" s="75"/>
      <c r="E47" s="181">
        <f t="shared" si="5"/>
        <v>0</v>
      </c>
      <c r="F47" s="171">
        <f t="shared" si="5"/>
        <v>0.07190360651898431</v>
      </c>
      <c r="G47" s="172">
        <f aca="true" t="shared" si="10" ref="G47:O47">IF(G29="","",G29+F47)</f>
        <v>0.3665490910602047</v>
      </c>
      <c r="H47" s="172">
        <f t="shared" si="10"/>
        <v>0.7912275618323988</v>
      </c>
      <c r="I47" s="172">
        <f t="shared" si="10"/>
        <v>1</v>
      </c>
      <c r="J47" s="172">
        <f t="shared" si="10"/>
      </c>
      <c r="K47" s="172">
        <f t="shared" si="10"/>
      </c>
      <c r="L47" s="172">
        <f t="shared" si="10"/>
      </c>
      <c r="M47" s="172">
        <f t="shared" si="10"/>
      </c>
      <c r="N47" s="172">
        <f t="shared" si="10"/>
      </c>
      <c r="O47" s="173">
        <f t="shared" si="10"/>
      </c>
      <c r="Q47" s="102" t="str">
        <f t="shared" si="0"/>
        <v>---</v>
      </c>
      <c r="R47" s="123" t="str">
        <f t="shared" si="1"/>
        <v>---</v>
      </c>
    </row>
    <row r="48" spans="3:18" ht="12.75">
      <c r="C48" s="67"/>
      <c r="D48" s="68"/>
      <c r="E48" s="179">
        <f t="shared" si="5"/>
        <v>1</v>
      </c>
      <c r="F48" s="165">
        <f t="shared" si="5"/>
        <v>0.11618310447140212</v>
      </c>
      <c r="G48" s="166">
        <f aca="true" t="shared" si="11" ref="G48:O48">IF(G30="","",G30+F48)</f>
        <v>0.4507066011159304</v>
      </c>
      <c r="H48" s="166">
        <f t="shared" si="11"/>
        <v>0.8468204944985979</v>
      </c>
      <c r="I48" s="166">
        <f t="shared" si="11"/>
        <v>1</v>
      </c>
      <c r="J48" s="166">
        <f t="shared" si="11"/>
      </c>
      <c r="K48" s="166">
        <f t="shared" si="11"/>
      </c>
      <c r="L48" s="166">
        <f t="shared" si="11"/>
      </c>
      <c r="M48" s="166">
        <f t="shared" si="11"/>
      </c>
      <c r="N48" s="166">
        <f t="shared" si="11"/>
      </c>
      <c r="O48" s="167">
        <f t="shared" si="11"/>
      </c>
      <c r="Q48" s="102" t="str">
        <f t="shared" si="0"/>
        <v>---</v>
      </c>
      <c r="R48" s="123" t="str">
        <f t="shared" si="1"/>
        <v>---</v>
      </c>
    </row>
    <row r="49" spans="3:18" ht="12.75">
      <c r="C49" s="70" t="s">
        <v>71</v>
      </c>
      <c r="D49" s="180" t="str">
        <f>IF(vtoc2="","",vtoc2)</f>
        <v>White</v>
      </c>
      <c r="E49" s="179">
        <f t="shared" si="5"/>
      </c>
      <c r="F49" s="165">
        <f t="shared" si="5"/>
      </c>
      <c r="G49" s="166">
        <f aca="true" t="shared" si="12" ref="G49:O49">IF(G31="","",G31+F49)</f>
      </c>
      <c r="H49" s="166">
        <f t="shared" si="12"/>
      </c>
      <c r="I49" s="166">
        <f t="shared" si="12"/>
      </c>
      <c r="J49" s="166">
        <f t="shared" si="12"/>
      </c>
      <c r="K49" s="166">
        <f t="shared" si="12"/>
      </c>
      <c r="L49" s="166">
        <f t="shared" si="12"/>
      </c>
      <c r="M49" s="166">
        <f t="shared" si="12"/>
      </c>
      <c r="N49" s="166">
        <f t="shared" si="12"/>
      </c>
      <c r="O49" s="167">
        <f t="shared" si="12"/>
      </c>
      <c r="Q49" s="102" t="str">
        <f t="shared" si="0"/>
        <v>---</v>
      </c>
      <c r="R49" s="123" t="str">
        <f t="shared" si="1"/>
        <v>---</v>
      </c>
    </row>
    <row r="50" spans="3:18" ht="12.75">
      <c r="C50" s="72"/>
      <c r="D50" s="73"/>
      <c r="E50" s="179">
        <f t="shared" si="5"/>
      </c>
      <c r="F50" s="165">
        <f t="shared" si="5"/>
      </c>
      <c r="G50" s="166">
        <f aca="true" t="shared" si="13" ref="G50:O50">IF(G32="","",G32+F50)</f>
      </c>
      <c r="H50" s="166">
        <f t="shared" si="13"/>
      </c>
      <c r="I50" s="166">
        <f t="shared" si="13"/>
      </c>
      <c r="J50" s="166">
        <f t="shared" si="13"/>
      </c>
      <c r="K50" s="166">
        <f t="shared" si="13"/>
      </c>
      <c r="L50" s="166">
        <f t="shared" si="13"/>
      </c>
      <c r="M50" s="166">
        <f t="shared" si="13"/>
      </c>
      <c r="N50" s="166">
        <f t="shared" si="13"/>
      </c>
      <c r="O50" s="167">
        <f t="shared" si="13"/>
      </c>
      <c r="Q50" s="102" t="str">
        <f t="shared" si="0"/>
        <v>---</v>
      </c>
      <c r="R50" s="123" t="str">
        <f t="shared" si="1"/>
        <v>---</v>
      </c>
    </row>
    <row r="51" spans="3:18" ht="12.75">
      <c r="C51" s="77"/>
      <c r="D51" s="78"/>
      <c r="E51" s="182">
        <f t="shared" si="5"/>
      </c>
      <c r="F51" s="168">
        <f t="shared" si="5"/>
      </c>
      <c r="G51" s="169">
        <f aca="true" t="shared" si="14" ref="G51:O51">IF(G33="","",G33+F51)</f>
      </c>
      <c r="H51" s="169">
        <f t="shared" si="14"/>
      </c>
      <c r="I51" s="169">
        <f t="shared" si="14"/>
      </c>
      <c r="J51" s="169">
        <f t="shared" si="14"/>
      </c>
      <c r="K51" s="169">
        <f t="shared" si="14"/>
      </c>
      <c r="L51" s="169">
        <f t="shared" si="14"/>
      </c>
      <c r="M51" s="169">
        <f t="shared" si="14"/>
      </c>
      <c r="N51" s="169">
        <f t="shared" si="14"/>
      </c>
      <c r="O51" s="170">
        <f t="shared" si="14"/>
      </c>
      <c r="Q51" s="102" t="str">
        <f t="shared" si="0"/>
        <v>---</v>
      </c>
      <c r="R51" s="123" t="str">
        <f t="shared" si="1"/>
        <v>---</v>
      </c>
    </row>
    <row r="52" spans="3:18" ht="12.75">
      <c r="C52" s="72"/>
      <c r="D52" s="73"/>
      <c r="E52" s="179">
        <f t="shared" si="5"/>
        <v>20</v>
      </c>
      <c r="F52" s="165">
        <f t="shared" si="5"/>
        <v>0.07583969125306023</v>
      </c>
      <c r="G52" s="166">
        <f aca="true" t="shared" si="15" ref="G52:O52">IF(G34="","",G34+F52)</f>
        <v>0.29678898109395135</v>
      </c>
      <c r="H52" s="166">
        <f t="shared" si="15"/>
        <v>0.7682471841542844</v>
      </c>
      <c r="I52" s="166">
        <f t="shared" si="15"/>
        <v>1</v>
      </c>
      <c r="J52" s="166">
        <f t="shared" si="15"/>
      </c>
      <c r="K52" s="166">
        <f t="shared" si="15"/>
      </c>
      <c r="L52" s="166">
        <f t="shared" si="15"/>
      </c>
      <c r="M52" s="166">
        <f t="shared" si="15"/>
      </c>
      <c r="N52" s="166">
        <f t="shared" si="15"/>
      </c>
      <c r="O52" s="167">
        <f t="shared" si="15"/>
      </c>
      <c r="Q52" s="102" t="str">
        <f t="shared" si="0"/>
        <v>---</v>
      </c>
      <c r="R52" s="123" t="str">
        <f t="shared" si="1"/>
        <v>---</v>
      </c>
    </row>
    <row r="53" spans="3:18" ht="12.75">
      <c r="C53" s="67"/>
      <c r="D53" s="68"/>
      <c r="E53" s="179">
        <f t="shared" si="5"/>
        <v>30</v>
      </c>
      <c r="F53" s="165">
        <f t="shared" si="5"/>
        <v>0.0881225003970777</v>
      </c>
      <c r="G53" s="166">
        <f aca="true" t="shared" si="16" ref="G53:O53">IF(G35="","",G35+F53)</f>
        <v>0.35140441868717165</v>
      </c>
      <c r="H53" s="166">
        <f t="shared" si="16"/>
        <v>0.7998476076608445</v>
      </c>
      <c r="I53" s="166">
        <f t="shared" si="16"/>
        <v>1</v>
      </c>
      <c r="J53" s="166">
        <f t="shared" si="16"/>
      </c>
      <c r="K53" s="166">
        <f t="shared" si="16"/>
      </c>
      <c r="L53" s="166">
        <f t="shared" si="16"/>
      </c>
      <c r="M53" s="166">
        <f t="shared" si="16"/>
      </c>
      <c r="N53" s="166">
        <f t="shared" si="16"/>
      </c>
      <c r="O53" s="167">
        <f t="shared" si="16"/>
      </c>
      <c r="Q53" s="102" t="str">
        <f t="shared" si="0"/>
        <v>---</v>
      </c>
      <c r="R53" s="123" t="str">
        <f t="shared" si="1"/>
        <v>---</v>
      </c>
    </row>
    <row r="54" spans="3:18" ht="12.75">
      <c r="C54" s="70" t="s">
        <v>72</v>
      </c>
      <c r="D54" s="180" t="str">
        <f>IF(vtoc3="","",vtoc3)</f>
        <v>Age</v>
      </c>
      <c r="E54" s="179">
        <f t="shared" si="5"/>
        <v>40</v>
      </c>
      <c r="F54" s="165">
        <f t="shared" si="5"/>
        <v>0.10217466776791762</v>
      </c>
      <c r="G54" s="166">
        <f aca="true" t="shared" si="17" ref="G54:O54">IF(G36="","",G36+F54)</f>
        <v>0.41020750481218093</v>
      </c>
      <c r="H54" s="166">
        <f t="shared" si="17"/>
        <v>0.8281032987102082</v>
      </c>
      <c r="I54" s="166">
        <f t="shared" si="17"/>
        <v>1</v>
      </c>
      <c r="J54" s="166">
        <f t="shared" si="17"/>
      </c>
      <c r="K54" s="166">
        <f t="shared" si="17"/>
      </c>
      <c r="L54" s="166">
        <f t="shared" si="17"/>
      </c>
      <c r="M54" s="166">
        <f t="shared" si="17"/>
      </c>
      <c r="N54" s="166">
        <f t="shared" si="17"/>
      </c>
      <c r="O54" s="167">
        <f t="shared" si="17"/>
      </c>
      <c r="Q54" s="102" t="str">
        <f t="shared" si="0"/>
        <v>---</v>
      </c>
      <c r="R54" s="123" t="str">
        <f t="shared" si="1"/>
        <v>---</v>
      </c>
    </row>
    <row r="55" spans="3:18" ht="12.75">
      <c r="C55" s="72"/>
      <c r="D55" s="73"/>
      <c r="E55" s="179">
        <f t="shared" si="5"/>
        <v>50</v>
      </c>
      <c r="F55" s="165">
        <f t="shared" si="5"/>
        <v>0.11817721790644287</v>
      </c>
      <c r="G55" s="166">
        <f aca="true" t="shared" si="18" ref="G55:O55">IF(G37="","",G37+F55)</f>
        <v>0.4716943887573256</v>
      </c>
      <c r="H55" s="166">
        <f t="shared" si="18"/>
        <v>0.8531026931479775</v>
      </c>
      <c r="I55" s="166">
        <f t="shared" si="18"/>
        <v>1</v>
      </c>
      <c r="J55" s="166">
        <f t="shared" si="18"/>
      </c>
      <c r="K55" s="166">
        <f t="shared" si="18"/>
      </c>
      <c r="L55" s="166">
        <f t="shared" si="18"/>
      </c>
      <c r="M55" s="166">
        <f t="shared" si="18"/>
      </c>
      <c r="N55" s="166">
        <f t="shared" si="18"/>
      </c>
      <c r="O55" s="167">
        <f t="shared" si="18"/>
      </c>
      <c r="Q55" s="102" t="str">
        <f t="shared" si="0"/>
        <v>---</v>
      </c>
      <c r="R55" s="123" t="str">
        <f t="shared" si="1"/>
        <v>---</v>
      </c>
    </row>
    <row r="56" spans="3:18" ht="12.75">
      <c r="C56" s="80"/>
      <c r="D56" s="81"/>
      <c r="E56" s="183">
        <f t="shared" si="5"/>
        <v>60</v>
      </c>
      <c r="F56" s="174">
        <f t="shared" si="5"/>
        <v>0.1363055782010658</v>
      </c>
      <c r="G56" s="175">
        <f aca="true" t="shared" si="19" ref="G56:O56">IF(G38="","",G38+F56)</f>
        <v>0.5340522977176974</v>
      </c>
      <c r="H56" s="175">
        <f t="shared" si="19"/>
        <v>0.8750150964625033</v>
      </c>
      <c r="I56" s="175">
        <f t="shared" si="19"/>
        <v>1</v>
      </c>
      <c r="J56" s="175">
        <f t="shared" si="19"/>
      </c>
      <c r="K56" s="175">
        <f t="shared" si="19"/>
      </c>
      <c r="L56" s="175">
        <f t="shared" si="19"/>
      </c>
      <c r="M56" s="175">
        <f t="shared" si="19"/>
      </c>
      <c r="N56" s="175">
        <f t="shared" si="19"/>
      </c>
      <c r="O56" s="176">
        <f t="shared" si="19"/>
      </c>
      <c r="Q56" s="102" t="str">
        <f t="shared" si="0"/>
        <v>---</v>
      </c>
      <c r="R56" s="123" t="str">
        <f t="shared" si="1"/>
        <v>---</v>
      </c>
    </row>
    <row r="57" spans="17:18" ht="12.75">
      <c r="Q57" s="102" t="str">
        <f t="shared" si="0"/>
        <v>---</v>
      </c>
      <c r="R57" s="123" t="str">
        <f t="shared" si="1"/>
        <v>---</v>
      </c>
    </row>
    <row r="58" spans="17:18" ht="12.75">
      <c r="Q58" s="102" t="str">
        <f t="shared" si="0"/>
        <v>---</v>
      </c>
      <c r="R58" s="123" t="str">
        <f t="shared" si="1"/>
        <v>---</v>
      </c>
    </row>
    <row r="59" spans="17:18" ht="12.75">
      <c r="Q59" s="102" t="str">
        <f t="shared" si="0"/>
        <v>---</v>
      </c>
      <c r="R59" s="123" t="str">
        <f t="shared" si="1"/>
        <v>---</v>
      </c>
    </row>
    <row r="60" spans="17:18" ht="12.75">
      <c r="Q60" s="102" t="str">
        <f t="shared" si="0"/>
        <v>---</v>
      </c>
      <c r="R60" s="123" t="str">
        <f t="shared" si="1"/>
        <v>---</v>
      </c>
    </row>
    <row r="61" spans="17:18" ht="12.75">
      <c r="Q61" s="102" t="str">
        <f t="shared" si="0"/>
        <v>---</v>
      </c>
      <c r="R61" s="123" t="str">
        <f t="shared" si="1"/>
        <v>---</v>
      </c>
    </row>
    <row r="62" spans="17:18" ht="12.75">
      <c r="Q62" s="102" t="str">
        <f t="shared" si="0"/>
        <v>---</v>
      </c>
      <c r="R62" s="123" t="str">
        <f t="shared" si="1"/>
        <v>---</v>
      </c>
    </row>
    <row r="63" spans="17:18" ht="12.75">
      <c r="Q63" s="102" t="str">
        <f t="shared" si="0"/>
        <v>---</v>
      </c>
      <c r="R63" s="123" t="str">
        <f t="shared" si="1"/>
        <v>---</v>
      </c>
    </row>
    <row r="64" spans="17:18" ht="12.75">
      <c r="Q64" s="102" t="str">
        <f t="shared" si="0"/>
        <v>---</v>
      </c>
      <c r="R64" s="123" t="str">
        <f t="shared" si="1"/>
        <v>---</v>
      </c>
    </row>
    <row r="65" spans="17:18" ht="12.75">
      <c r="Q65" s="103" t="str">
        <f t="shared" si="0"/>
        <v>---</v>
      </c>
      <c r="R65" s="125" t="str">
        <f t="shared" si="1"/>
        <v>---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L65"/>
  <sheetViews>
    <sheetView showGridLines="0" zoomScale="95" zoomScaleNormal="95" workbookViewId="0" topLeftCell="A1">
      <selection activeCell="D7" sqref="D7"/>
    </sheetView>
  </sheetViews>
  <sheetFormatPr defaultColWidth="9.140625" defaultRowHeight="12.75"/>
  <cols>
    <col min="1" max="1" width="2.57421875" style="40" customWidth="1"/>
    <col min="2" max="22" width="9.140625" style="40" customWidth="1"/>
    <col min="23" max="23" width="12.140625" style="40" customWidth="1"/>
    <col min="24" max="16384" width="9.140625" style="40" customWidth="1"/>
  </cols>
  <sheetData>
    <row r="1" spans="2:19" ht="21.75" customHeight="1">
      <c r="B1" s="184" t="s">
        <v>50</v>
      </c>
      <c r="C1" s="185"/>
      <c r="D1" s="185"/>
      <c r="E1" s="185"/>
      <c r="F1" s="185"/>
      <c r="G1" s="185"/>
      <c r="H1" s="88" t="s">
        <v>99</v>
      </c>
      <c r="I1" s="185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2:19" ht="18" customHeight="1">
      <c r="B2" s="42"/>
      <c r="C2" s="45" t="s">
        <v>59</v>
      </c>
      <c r="D2" s="7"/>
      <c r="E2" s="185"/>
      <c r="F2" s="185"/>
      <c r="G2" s="185"/>
      <c r="H2" s="185"/>
      <c r="I2" s="186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2:19" ht="15" customHeight="1">
      <c r="B3" s="42"/>
      <c r="C3" s="47" t="s">
        <v>60</v>
      </c>
      <c r="D3" s="87"/>
      <c r="E3" s="187"/>
      <c r="F3" s="187"/>
      <c r="G3" s="187"/>
      <c r="H3" s="187"/>
      <c r="I3" s="186"/>
      <c r="J3" s="58"/>
      <c r="K3" s="42"/>
      <c r="L3" s="42"/>
      <c r="M3" s="42"/>
      <c r="N3" s="42"/>
      <c r="O3" s="42"/>
      <c r="P3" s="42"/>
      <c r="Q3" s="42"/>
      <c r="R3" s="42"/>
      <c r="S3" s="42"/>
    </row>
    <row r="4" spans="2:19" ht="15" customHeight="1">
      <c r="B4" s="42"/>
      <c r="C4" s="47" t="s">
        <v>122</v>
      </c>
      <c r="D4" s="12"/>
      <c r="E4" s="57"/>
      <c r="F4" s="57"/>
      <c r="G4" s="57"/>
      <c r="H4" s="57"/>
      <c r="J4" s="57"/>
      <c r="K4" s="42"/>
      <c r="L4" s="42"/>
      <c r="M4" s="42"/>
      <c r="N4" s="42"/>
      <c r="O4" s="42"/>
      <c r="P4" s="42"/>
      <c r="Q4" s="42"/>
      <c r="R4" s="42"/>
      <c r="S4" s="42"/>
    </row>
    <row r="5" spans="1:35" ht="15" customHeight="1">
      <c r="A5" s="50"/>
      <c r="B5" s="50"/>
      <c r="C5" s="26"/>
      <c r="D5" s="50"/>
      <c r="E5" s="50"/>
      <c r="F5" s="50"/>
      <c r="G5" s="50"/>
      <c r="H5" s="188"/>
      <c r="I5" s="50"/>
      <c r="J5" s="188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</row>
    <row r="6" spans="2:19" ht="24" customHeight="1">
      <c r="B6" s="189" t="s">
        <v>119</v>
      </c>
      <c r="C6" s="190"/>
      <c r="D6" s="42"/>
      <c r="E6" s="57"/>
      <c r="F6" s="57"/>
      <c r="P6" s="42"/>
      <c r="Q6" s="42"/>
      <c r="R6" s="42"/>
      <c r="S6" s="42"/>
    </row>
    <row r="7" spans="2:19" ht="15" customHeight="1">
      <c r="B7" s="191" t="s">
        <v>115</v>
      </c>
      <c r="C7" s="192"/>
      <c r="D7" s="193" t="s">
        <v>49</v>
      </c>
      <c r="E7" s="194" t="s">
        <v>77</v>
      </c>
      <c r="F7" s="195"/>
      <c r="G7" s="195"/>
      <c r="H7" s="195"/>
      <c r="I7" s="196"/>
      <c r="P7" s="42"/>
      <c r="Q7" s="42"/>
      <c r="R7" s="42"/>
      <c r="S7" s="42"/>
    </row>
    <row r="8" spans="2:19" ht="15" customHeight="1">
      <c r="B8" s="197" t="s">
        <v>116</v>
      </c>
      <c r="C8" s="198"/>
      <c r="D8" s="199">
        <v>10</v>
      </c>
      <c r="E8" s="200" t="s">
        <v>78</v>
      </c>
      <c r="F8" s="201"/>
      <c r="G8" s="201"/>
      <c r="H8" s="201"/>
      <c r="I8" s="202"/>
      <c r="P8" s="42"/>
      <c r="Q8" s="42"/>
      <c r="R8" s="42"/>
      <c r="S8" s="42"/>
    </row>
    <row r="9" spans="2:19" ht="15" customHeight="1">
      <c r="B9" s="197" t="s">
        <v>117</v>
      </c>
      <c r="C9" s="198"/>
      <c r="D9" s="199">
        <v>70</v>
      </c>
      <c r="E9" s="200" t="s">
        <v>79</v>
      </c>
      <c r="F9" s="201"/>
      <c r="G9" s="201"/>
      <c r="H9" s="201"/>
      <c r="I9" s="202"/>
      <c r="P9" s="42"/>
      <c r="Q9" s="42"/>
      <c r="R9" s="42"/>
      <c r="S9" s="42"/>
    </row>
    <row r="10" spans="2:19" ht="15" customHeight="1">
      <c r="B10" s="203" t="s">
        <v>118</v>
      </c>
      <c r="C10" s="204"/>
      <c r="D10" s="205">
        <v>10</v>
      </c>
      <c r="E10" s="206" t="s">
        <v>80</v>
      </c>
      <c r="F10" s="207"/>
      <c r="G10" s="207"/>
      <c r="H10" s="207"/>
      <c r="I10" s="208"/>
      <c r="P10" s="42"/>
      <c r="Q10" s="42"/>
      <c r="R10" s="42"/>
      <c r="S10" s="42"/>
    </row>
    <row r="11" spans="1:38" ht="1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12"/>
      <c r="N11" s="12"/>
      <c r="O11" s="12"/>
      <c r="P11" s="1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5" ht="24" customHeight="1" thickBot="1">
      <c r="A12" s="209"/>
      <c r="B12" s="189" t="s">
        <v>81</v>
      </c>
      <c r="C12" s="12"/>
      <c r="D12" s="12"/>
      <c r="E12" s="12"/>
      <c r="F12" s="12"/>
      <c r="G12" s="12"/>
      <c r="H12" s="210"/>
      <c r="I12" s="12"/>
      <c r="J12" s="12"/>
      <c r="L12" s="189" t="s">
        <v>82</v>
      </c>
      <c r="V12" s="99" t="s">
        <v>74</v>
      </c>
      <c r="W12" s="100"/>
      <c r="Y12" s="99" t="s">
        <v>83</v>
      </c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</row>
    <row r="13" ht="13.5" thickTop="1"/>
    <row r="14" spans="22:35" ht="12.75">
      <c r="V14" s="50" t="s">
        <v>1</v>
      </c>
      <c r="W14" s="116" t="s">
        <v>19</v>
      </c>
      <c r="Y14" s="211" t="s">
        <v>84</v>
      </c>
      <c r="Z14" s="116" t="str">
        <f>cat1</f>
        <v>SD</v>
      </c>
      <c r="AA14" s="116" t="str">
        <f>cat2</f>
        <v>D</v>
      </c>
      <c r="AB14" s="116" t="str">
        <f>IF(cat3="","",cat3)</f>
        <v>A</v>
      </c>
      <c r="AC14" s="116" t="str">
        <f>IF(cat4="","",cat4)</f>
        <v>SA</v>
      </c>
      <c r="AD14" s="116">
        <f>IF(cat5="","",cat5)</f>
      </c>
      <c r="AE14" s="116">
        <f>IF(cat6="","",cat6)</f>
      </c>
      <c r="AF14" s="116">
        <f>IF(cat7="","",cat7)</f>
      </c>
      <c r="AG14" s="116">
        <f>IF(cat8="","",cat8)</f>
      </c>
      <c r="AH14" s="116">
        <f>IF(cat9="","",cat9)</f>
      </c>
      <c r="AI14" s="116">
        <f>IF(cat10="","",cat10)</f>
      </c>
    </row>
    <row r="15" spans="22:23" ht="12.75">
      <c r="V15" s="117"/>
      <c r="W15" s="117"/>
    </row>
    <row r="16" spans="22:35" ht="12.75">
      <c r="V16" s="102" t="str">
        <f>RHV</f>
        <v>YR89</v>
      </c>
      <c r="W16" s="120">
        <f>IF(Bval="","---",Bval)</f>
        <v>0.4</v>
      </c>
      <c r="Y16" s="212">
        <f>IF(Tech!B72="","",Tech!B72)</f>
        <v>10</v>
      </c>
      <c r="Z16" s="213">
        <f>IF(Tech!C72="","",1-Tech!C72)</f>
        <v>0.06514659065772999</v>
      </c>
      <c r="AA16" s="145">
        <f>IF(Tech!D72="",Tech!C72,Tech!C72-Tech!D72)</f>
        <v>0.1822772032232567</v>
      </c>
      <c r="AB16" s="145">
        <f>IF(Tech!E72="",Tech!D72,Tech!D72-Tech!E72)</f>
        <v>0.48589727194010857</v>
      </c>
      <c r="AC16" s="145">
        <f>IF(Tech!F72="",Tech!E72,Tech!E72-Tech!F72)</f>
        <v>0.26667893417890476</v>
      </c>
      <c r="AD16" s="145">
        <f>IF(Tech!G72="",Tech!F72,Tech!F72-Tech!G72)</f>
      </c>
      <c r="AE16" s="145">
        <f>IF(Tech!H72="",Tech!G72,Tech!G72-Tech!H72)</f>
      </c>
      <c r="AF16" s="145">
        <f>IF(Tech!I72="",Tech!H72,Tech!H72-Tech!I72)</f>
      </c>
      <c r="AG16" s="145">
        <f>IF(Tech!J72="",Tech!I72,Tech!I72-Tech!J72)</f>
      </c>
      <c r="AH16" s="145">
        <f>IF(Tech!K72="",Tech!J72,Tech!J72-Tech!K72)</f>
      </c>
      <c r="AI16" s="145">
        <f>IF(Tech!L72="",Tech!K72,Tech!K72-Tech!L72)</f>
      </c>
    </row>
    <row r="17" spans="22:35" ht="12.75">
      <c r="V17" s="102" t="str">
        <f aca="true" t="shared" si="0" ref="V17:V65">IF(RHV="","---",RHV)</f>
        <v>MALE</v>
      </c>
      <c r="W17" s="123">
        <f aca="true" t="shared" si="1" ref="W17:W65">IF(Bval="","---",Bval)</f>
        <v>0.47</v>
      </c>
      <c r="Y17" s="214">
        <f>IF(Tech!B73="","",Tech!B73)</f>
        <v>16.666666666666668</v>
      </c>
      <c r="Z17" s="145">
        <f>IF(Tech!C73="","",1-Tech!C73)</f>
        <v>0.07210741483640348</v>
      </c>
      <c r="AA17" s="145">
        <f>IF(Tech!D73="",Tech!C73,Tech!C73-Tech!D73)</f>
        <v>0.20760465204599043</v>
      </c>
      <c r="AB17" s="145">
        <f>IF(Tech!E73="",Tech!D73,Tech!D73-Tech!E73)</f>
        <v>0.4772580774043855</v>
      </c>
      <c r="AC17" s="145">
        <f>IF(Tech!F73="",Tech!E73,Tech!E73-Tech!F73)</f>
        <v>0.2430298557132206</v>
      </c>
      <c r="AD17" s="145">
        <f>IF(Tech!G73="",Tech!F73,Tech!F73-Tech!G73)</f>
      </c>
      <c r="AE17" s="145">
        <f>IF(Tech!H73="",Tech!G73,Tech!G73-Tech!H73)</f>
      </c>
      <c r="AF17" s="145">
        <f>IF(Tech!I73="",Tech!H73,Tech!H73-Tech!I73)</f>
      </c>
      <c r="AG17" s="145">
        <f>IF(Tech!J73="",Tech!I73,Tech!I73-Tech!J73)</f>
      </c>
      <c r="AH17" s="145">
        <f>IF(Tech!K73="",Tech!J73,Tech!J73-Tech!K73)</f>
      </c>
      <c r="AI17" s="145">
        <f>IF(Tech!L73="",Tech!K73,Tech!K73-Tech!L73)</f>
      </c>
    </row>
    <row r="18" spans="22:35" ht="12.75">
      <c r="V18" s="102" t="str">
        <f t="shared" si="0"/>
        <v>WHITE</v>
      </c>
      <c r="W18" s="123">
        <f t="shared" si="1"/>
        <v>0.88</v>
      </c>
      <c r="Y18" s="214">
        <f>IF(Tech!B74="","",Tech!B74)</f>
        <v>23.333333333333336</v>
      </c>
      <c r="Z18" s="145">
        <f>IF(Tech!C74="","",1-Tech!C74)</f>
        <v>0.07974854688600885</v>
      </c>
      <c r="AA18" s="145">
        <f>IF(Tech!D74="",Tech!C74,Tech!C74-Tech!D74)</f>
        <v>0.23470477086763009</v>
      </c>
      <c r="AB18" s="145">
        <f>IF(Tech!E74="",Tech!D74,Tech!D74-Tech!E74)</f>
        <v>0.46470029646290834</v>
      </c>
      <c r="AC18" s="145">
        <f>IF(Tech!F74="",Tech!E74,Tech!E74-Tech!F74)</f>
        <v>0.2208463857834527</v>
      </c>
      <c r="AD18" s="145">
        <f>IF(Tech!G74="",Tech!F74,Tech!F74-Tech!G74)</f>
      </c>
      <c r="AE18" s="145">
        <f>IF(Tech!H74="",Tech!G74,Tech!G74-Tech!H74)</f>
      </c>
      <c r="AF18" s="145">
        <f>IF(Tech!I74="",Tech!H74,Tech!H74-Tech!I74)</f>
      </c>
      <c r="AG18" s="145">
        <f>IF(Tech!J74="",Tech!I74,Tech!I74-Tech!J74)</f>
      </c>
      <c r="AH18" s="145">
        <f>IF(Tech!K74="",Tech!J74,Tech!J74-Tech!K74)</f>
      </c>
      <c r="AI18" s="145">
        <f>IF(Tech!L74="",Tech!K74,Tech!K74-Tech!L74)</f>
      </c>
    </row>
    <row r="19" spans="22:35" ht="12.75">
      <c r="V19" s="102" t="str">
        <f t="shared" si="0"/>
        <v>AGE</v>
      </c>
      <c r="W19" s="123">
        <f t="shared" si="1"/>
        <v>44.94</v>
      </c>
      <c r="Y19" s="214">
        <f>IF(Tech!B75="","",Tech!B75)</f>
        <v>30.000000000000004</v>
      </c>
      <c r="Z19" s="145">
        <f>IF(Tech!C75="","",1-Tech!C75)</f>
        <v>0.0881225003970777</v>
      </c>
      <c r="AA19" s="145">
        <f>IF(Tech!D75="",Tech!C75,Tech!C75-Tech!D75)</f>
        <v>0.26328191829009406</v>
      </c>
      <c r="AB19" s="145">
        <f>IF(Tech!E75="",Tech!D75,Tech!D75-Tech!E75)</f>
        <v>0.44844318897367275</v>
      </c>
      <c r="AC19" s="145">
        <f>IF(Tech!F75="",Tech!E75,Tech!E75-Tech!F75)</f>
        <v>0.20015239233915547</v>
      </c>
      <c r="AD19" s="145">
        <f>IF(Tech!G75="",Tech!F75,Tech!F75-Tech!G75)</f>
      </c>
      <c r="AE19" s="145">
        <f>IF(Tech!H75="",Tech!G75,Tech!G75-Tech!H75)</f>
      </c>
      <c r="AF19" s="145">
        <f>IF(Tech!I75="",Tech!H75,Tech!H75-Tech!I75)</f>
      </c>
      <c r="AG19" s="145">
        <f>IF(Tech!J75="",Tech!I75,Tech!I75-Tech!J75)</f>
      </c>
      <c r="AH19" s="145">
        <f>IF(Tech!K75="",Tech!J75,Tech!J75-Tech!K75)</f>
      </c>
      <c r="AI19" s="145">
        <f>IF(Tech!L75="",Tech!K75,Tech!K75-Tech!L75)</f>
      </c>
    </row>
    <row r="20" spans="22:35" ht="12.75">
      <c r="V20" s="102" t="str">
        <f t="shared" si="0"/>
        <v>ED</v>
      </c>
      <c r="W20" s="123">
        <f t="shared" si="1"/>
        <v>12.22</v>
      </c>
      <c r="Y20" s="214">
        <f>IF(Tech!B76="","",Tech!B76)</f>
        <v>36.66666666666667</v>
      </c>
      <c r="Z20" s="145">
        <f>IF(Tech!C76="","",1-Tech!C76)</f>
        <v>0.09728280246245313</v>
      </c>
      <c r="AA20" s="145">
        <f>IF(Tech!D76="",Tech!C76,Tech!C76-Tech!D76)</f>
        <v>0.29294320719426936</v>
      </c>
      <c r="AB20" s="145">
        <f>IF(Tech!E76="",Tech!D76,Tech!D76-Tech!E76)</f>
        <v>0.42882682586750065</v>
      </c>
      <c r="AC20" s="145">
        <f>IF(Tech!F76="",Tech!E76,Tech!E76-Tech!F76)</f>
        <v>0.18094716447577688</v>
      </c>
      <c r="AD20" s="145">
        <f>IF(Tech!G76="",Tech!F76,Tech!F76-Tech!G76)</f>
      </c>
      <c r="AE20" s="145">
        <f>IF(Tech!H76="",Tech!G76,Tech!G76-Tech!H76)</f>
      </c>
      <c r="AF20" s="145">
        <f>IF(Tech!I76="",Tech!H76,Tech!H76-Tech!I76)</f>
      </c>
      <c r="AG20" s="145">
        <f>IF(Tech!J76="",Tech!I76,Tech!I76-Tech!J76)</f>
      </c>
      <c r="AH20" s="145">
        <f>IF(Tech!K76="",Tech!J76,Tech!J76-Tech!K76)</f>
      </c>
      <c r="AI20" s="145">
        <f>IF(Tech!L76="",Tech!K76,Tech!K76-Tech!L76)</f>
      </c>
    </row>
    <row r="21" spans="22:35" ht="12.75">
      <c r="V21" s="102" t="str">
        <f t="shared" si="0"/>
        <v>PRST</v>
      </c>
      <c r="W21" s="123">
        <f t="shared" si="1"/>
        <v>39.59</v>
      </c>
      <c r="Y21" s="214">
        <f>IF(Tech!B77="","",Tech!B77)</f>
        <v>43.333333333333336</v>
      </c>
      <c r="Z21" s="145">
        <f>IF(Tech!C77="","",1-Tech!C77)</f>
        <v>0.10728328616161975</v>
      </c>
      <c r="AA21" s="145">
        <f>IF(Tech!D77="",Tech!C77,Tech!C77-Tech!D77)</f>
        <v>0.32320653802030697</v>
      </c>
      <c r="AB21" s="145">
        <f>IF(Tech!E77="",Tech!D77,Tech!D77-Tech!E77)</f>
        <v>0.4063014623100808</v>
      </c>
      <c r="AC21" s="145">
        <f>IF(Tech!F77="",Tech!E77,Tech!E77-Tech!F77)</f>
        <v>0.16320871350799246</v>
      </c>
      <c r="AD21" s="145">
        <f>IF(Tech!G77="",Tech!F77,Tech!F77-Tech!G77)</f>
      </c>
      <c r="AE21" s="145">
        <f>IF(Tech!H77="",Tech!G77,Tech!G77-Tech!H77)</f>
      </c>
      <c r="AF21" s="145">
        <f>IF(Tech!I77="",Tech!H77,Tech!H77-Tech!I77)</f>
      </c>
      <c r="AG21" s="145">
        <f>IF(Tech!J77="",Tech!I77,Tech!I77-Tech!J77)</f>
      </c>
      <c r="AH21" s="145">
        <f>IF(Tech!K77="",Tech!J77,Tech!J77-Tech!K77)</f>
      </c>
      <c r="AI21" s="145">
        <f>IF(Tech!L77="",Tech!K77,Tech!K77-Tech!L77)</f>
      </c>
    </row>
    <row r="22" spans="22:35" ht="12.75">
      <c r="V22" s="102" t="str">
        <f t="shared" si="0"/>
        <v>---</v>
      </c>
      <c r="W22" s="123" t="str">
        <f t="shared" si="1"/>
        <v>---</v>
      </c>
      <c r="Y22" s="214">
        <f>IF(Tech!B78="","",Tech!B78)</f>
        <v>50</v>
      </c>
      <c r="Z22" s="145">
        <f>IF(Tech!C78="","",1-Tech!C78)</f>
        <v>0.11817721790644287</v>
      </c>
      <c r="AA22" s="145">
        <f>IF(Tech!D78="",Tech!C78,Tech!C78-Tech!D78)</f>
        <v>0.35351717085088274</v>
      </c>
      <c r="AB22" s="145">
        <f>IF(Tech!E78="",Tech!D78,Tech!D78-Tech!E78)</f>
        <v>0.38140830439065193</v>
      </c>
      <c r="AC22" s="145">
        <f>IF(Tech!F78="",Tech!E78,Tech!E78-Tech!F78)</f>
        <v>0.14689730685202246</v>
      </c>
      <c r="AD22" s="145">
        <f>IF(Tech!G78="",Tech!F78,Tech!F78-Tech!G78)</f>
      </c>
      <c r="AE22" s="145">
        <f>IF(Tech!H78="",Tech!G78,Tech!G78-Tech!H78)</f>
      </c>
      <c r="AF22" s="145">
        <f>IF(Tech!I78="",Tech!H78,Tech!H78-Tech!I78)</f>
      </c>
      <c r="AG22" s="145">
        <f>IF(Tech!J78="",Tech!I78,Tech!I78-Tech!J78)</f>
      </c>
      <c r="AH22" s="145">
        <f>IF(Tech!K78="",Tech!J78,Tech!J78-Tech!K78)</f>
      </c>
      <c r="AI22" s="145">
        <f>IF(Tech!L78="",Tech!K78,Tech!K78-Tech!L78)</f>
      </c>
    </row>
    <row r="23" spans="22:35" ht="12.75">
      <c r="V23" s="102" t="str">
        <f t="shared" si="0"/>
        <v>---</v>
      </c>
      <c r="W23" s="123" t="str">
        <f t="shared" si="1"/>
        <v>---</v>
      </c>
      <c r="Y23" s="214">
        <f>IF(Tech!B79="","",Tech!B79)</f>
        <v>56.666666666666664</v>
      </c>
      <c r="Z23" s="145">
        <f>IF(Tech!C79="","",1-Tech!C79)</f>
        <v>0.13001624924624455</v>
      </c>
      <c r="AA23" s="145">
        <f>IF(Tech!D79="",Tech!C79,Tech!C79-Tech!D79)</f>
        <v>0.3832720464354517</v>
      </c>
      <c r="AB23" s="145">
        <f>IF(Tech!E79="",Tech!D79,Tech!D79-Tech!E79)</f>
        <v>0.35475268530864346</v>
      </c>
      <c r="AC23" s="145">
        <f>IF(Tech!F79="",Tech!E79,Tech!E79-Tech!F79)</f>
        <v>0.1319590190096603</v>
      </c>
      <c r="AD23" s="145">
        <f>IF(Tech!G79="",Tech!F79,Tech!F79-Tech!G79)</f>
      </c>
      <c r="AE23" s="145">
        <f>IF(Tech!H79="",Tech!G79,Tech!G79-Tech!H79)</f>
      </c>
      <c r="AF23" s="145">
        <f>IF(Tech!I79="",Tech!H79,Tech!H79-Tech!I79)</f>
      </c>
      <c r="AG23" s="145">
        <f>IF(Tech!J79="",Tech!I79,Tech!I79-Tech!J79)</f>
      </c>
      <c r="AH23" s="145">
        <f>IF(Tech!K79="",Tech!J79,Tech!J79-Tech!K79)</f>
      </c>
      <c r="AI23" s="145">
        <f>IF(Tech!L79="",Tech!K79,Tech!K79-Tech!L79)</f>
      </c>
    </row>
    <row r="24" spans="22:35" ht="12.75">
      <c r="V24" s="102" t="str">
        <f t="shared" si="0"/>
        <v>---</v>
      </c>
      <c r="W24" s="123" t="str">
        <f t="shared" si="1"/>
        <v>---</v>
      </c>
      <c r="Y24" s="214">
        <f>IF(Tech!B80="","",Tech!B80)</f>
        <v>63.33333333333333</v>
      </c>
      <c r="Z24" s="145">
        <f>IF(Tech!C80="","",1-Tech!C80)</f>
        <v>0.1428491885798181</v>
      </c>
      <c r="AA24" s="145">
        <f>IF(Tech!D80="",Tech!C80,Tech!C80-Tech!D80)</f>
        <v>0.41184977915737364</v>
      </c>
      <c r="AB24" s="145">
        <f>IF(Tech!E80="",Tech!D80,Tech!D80-Tech!E80)</f>
        <v>0.3269719026402201</v>
      </c>
      <c r="AC24" s="145">
        <f>IF(Tech!F80="",Tech!E80,Tech!E80-Tech!F80)</f>
        <v>0.11832912962258817</v>
      </c>
      <c r="AD24" s="145">
        <f>IF(Tech!G80="",Tech!F80,Tech!F80-Tech!G80)</f>
      </c>
      <c r="AE24" s="145">
        <f>IF(Tech!H80="",Tech!G80,Tech!G80-Tech!H80)</f>
      </c>
      <c r="AF24" s="145">
        <f>IF(Tech!I80="",Tech!H80,Tech!H80-Tech!I80)</f>
      </c>
      <c r="AG24" s="145">
        <f>IF(Tech!J80="",Tech!I80,Tech!I80-Tech!J80)</f>
      </c>
      <c r="AH24" s="145">
        <f>IF(Tech!K80="",Tech!J80,Tech!J80-Tech!K80)</f>
      </c>
      <c r="AI24" s="145">
        <f>IF(Tech!L80="",Tech!K80,Tech!K80-Tech!L80)</f>
      </c>
    </row>
    <row r="25" spans="22:35" ht="12.75">
      <c r="V25" s="102" t="str">
        <f t="shared" si="0"/>
        <v>---</v>
      </c>
      <c r="W25" s="123" t="str">
        <f t="shared" si="1"/>
        <v>---</v>
      </c>
      <c r="Y25" s="214">
        <f>IF(Tech!B81="","",Tech!B81)</f>
        <v>70</v>
      </c>
      <c r="Z25" s="145">
        <f>IF(Tech!C81="","",1-Tech!C81)</f>
        <v>0.15672059634267188</v>
      </c>
      <c r="AA25" s="145">
        <f>IF(Tech!D81="",Tech!C81,Tech!C81-Tech!D81)</f>
        <v>0.4386432310105201</v>
      </c>
      <c r="AB25" s="145">
        <f>IF(Tech!E81="",Tech!D81,Tech!D81-Tech!E81)</f>
        <v>0.2987009263943462</v>
      </c>
      <c r="AC25" s="145">
        <f>IF(Tech!F81="",Tech!E81,Tech!E81-Tech!F81)</f>
        <v>0.10593524625246184</v>
      </c>
      <c r="AD25" s="145">
        <f>IF(Tech!G81="",Tech!F81,Tech!F81-Tech!G81)</f>
      </c>
      <c r="AE25" s="145">
        <f>IF(Tech!H81="",Tech!G81,Tech!G81-Tech!H81)</f>
      </c>
      <c r="AF25" s="145">
        <f>IF(Tech!I81="",Tech!H81,Tech!H81-Tech!I81)</f>
      </c>
      <c r="AG25" s="145">
        <f>IF(Tech!J81="",Tech!I81,Tech!I81-Tech!J81)</f>
      </c>
      <c r="AH25" s="145">
        <f>IF(Tech!K81="",Tech!J81,Tech!J81-Tech!K81)</f>
      </c>
      <c r="AI25" s="145">
        <f>IF(Tech!L81="",Tech!K81,Tech!K81-Tech!L81)</f>
      </c>
    </row>
    <row r="26" spans="22:35" ht="12.75">
      <c r="V26" s="102" t="str">
        <f t="shared" si="0"/>
        <v>---</v>
      </c>
      <c r="W26" s="123" t="str">
        <f t="shared" si="1"/>
        <v>---</v>
      </c>
      <c r="Y26" s="214">
        <f>IF(Tech!B82="","",Tech!B82)</f>
      </c>
      <c r="Z26" s="145">
        <f>IF(Tech!C82="","",1-Tech!C82)</f>
      </c>
      <c r="AA26" s="145">
        <f>IF(Tech!D82="",Tech!C82,Tech!C82-Tech!D82)</f>
      </c>
      <c r="AB26" s="145">
        <f>IF(Tech!E82="",Tech!D82,Tech!D82-Tech!E82)</f>
      </c>
      <c r="AC26" s="145">
        <f>IF(Tech!F82="",Tech!E82,Tech!E82-Tech!F82)</f>
      </c>
      <c r="AD26" s="145">
        <f>IF(Tech!G82="",Tech!F82,Tech!F82-Tech!G82)</f>
      </c>
      <c r="AE26" s="145">
        <f>IF(Tech!H82="",Tech!G82,Tech!G82-Tech!H82)</f>
      </c>
      <c r="AF26" s="145">
        <f>IF(Tech!I82="",Tech!H82,Tech!H82-Tech!I82)</f>
      </c>
      <c r="AG26" s="145">
        <f>IF(Tech!J82="",Tech!I82,Tech!I82-Tech!J82)</f>
      </c>
      <c r="AH26" s="145">
        <f>IF(Tech!K82="",Tech!J82,Tech!J82-Tech!K82)</f>
      </c>
      <c r="AI26" s="145">
        <f>IF(Tech!L82="",Tech!K82,Tech!K82-Tech!L82)</f>
      </c>
    </row>
    <row r="27" spans="22:35" ht="12.75">
      <c r="V27" s="102" t="str">
        <f t="shared" si="0"/>
        <v>---</v>
      </c>
      <c r="W27" s="123" t="str">
        <f t="shared" si="1"/>
        <v>---</v>
      </c>
      <c r="Y27" s="214">
        <f>IF(Tech!B83="","",Tech!B83)</f>
      </c>
      <c r="Z27" s="145">
        <f>IF(Tech!C83="","",1-Tech!C83)</f>
      </c>
      <c r="AA27" s="145">
        <f>IF(Tech!D83="",Tech!C83,Tech!C83-Tech!D83)</f>
      </c>
      <c r="AB27" s="145">
        <f>IF(Tech!E83="",Tech!D83,Tech!D83-Tech!E83)</f>
      </c>
      <c r="AC27" s="145">
        <f>IF(Tech!F83="",Tech!E83,Tech!E83-Tech!F83)</f>
      </c>
      <c r="AD27" s="145">
        <f>IF(Tech!G83="",Tech!F83,Tech!F83-Tech!G83)</f>
      </c>
      <c r="AE27" s="145">
        <f>IF(Tech!H83="",Tech!G83,Tech!G83-Tech!H83)</f>
      </c>
      <c r="AF27" s="145">
        <f>IF(Tech!I83="",Tech!H83,Tech!H83-Tech!I83)</f>
      </c>
      <c r="AG27" s="145">
        <f>IF(Tech!J83="",Tech!I83,Tech!I83-Tech!J83)</f>
      </c>
      <c r="AH27" s="145">
        <f>IF(Tech!K83="",Tech!J83,Tech!J83-Tech!K83)</f>
      </c>
      <c r="AI27" s="145">
        <f>IF(Tech!L83="",Tech!K83,Tech!K83-Tech!L83)</f>
      </c>
    </row>
    <row r="28" spans="22:35" ht="12.75">
      <c r="V28" s="102" t="str">
        <f t="shared" si="0"/>
        <v>---</v>
      </c>
      <c r="W28" s="123" t="str">
        <f t="shared" si="1"/>
        <v>---</v>
      </c>
      <c r="Y28" s="214">
        <f>IF(Tech!B84="","",Tech!B84)</f>
      </c>
      <c r="Z28" s="145">
        <f>IF(Tech!C84="","",1-Tech!C84)</f>
      </c>
      <c r="AA28" s="145">
        <f>IF(Tech!D84="",Tech!C84,Tech!C84-Tech!D84)</f>
      </c>
      <c r="AB28" s="145">
        <f>IF(Tech!E84="",Tech!D84,Tech!D84-Tech!E84)</f>
      </c>
      <c r="AC28" s="145">
        <f>IF(Tech!F84="",Tech!E84,Tech!E84-Tech!F84)</f>
      </c>
      <c r="AD28" s="145">
        <f>IF(Tech!G84="",Tech!F84,Tech!F84-Tech!G84)</f>
      </c>
      <c r="AE28" s="145">
        <f>IF(Tech!H84="",Tech!G84,Tech!G84-Tech!H84)</f>
      </c>
      <c r="AF28" s="145">
        <f>IF(Tech!I84="",Tech!H84,Tech!H84-Tech!I84)</f>
      </c>
      <c r="AG28" s="145">
        <f>IF(Tech!J84="",Tech!I84,Tech!I84-Tech!J84)</f>
      </c>
      <c r="AH28" s="145">
        <f>IF(Tech!K84="",Tech!J84,Tech!J84-Tech!K84)</f>
      </c>
      <c r="AI28" s="145">
        <f>IF(Tech!L84="",Tech!K84,Tech!K84-Tech!L84)</f>
      </c>
    </row>
    <row r="29" spans="22:35" ht="12.75">
      <c r="V29" s="102" t="str">
        <f t="shared" si="0"/>
        <v>---</v>
      </c>
      <c r="W29" s="123" t="str">
        <f t="shared" si="1"/>
        <v>---</v>
      </c>
      <c r="Y29" s="214">
        <f>IF(Tech!B85="","",Tech!B85)</f>
      </c>
      <c r="Z29" s="145">
        <f>IF(Tech!C85="","",1-Tech!C85)</f>
      </c>
      <c r="AA29" s="145">
        <f>IF(Tech!D85="",Tech!C85,Tech!C85-Tech!D85)</f>
      </c>
      <c r="AB29" s="145">
        <f>IF(Tech!E85="",Tech!D85,Tech!D85-Tech!E85)</f>
      </c>
      <c r="AC29" s="145">
        <f>IF(Tech!F85="",Tech!E85,Tech!E85-Tech!F85)</f>
      </c>
      <c r="AD29" s="145">
        <f>IF(Tech!G85="",Tech!F85,Tech!F85-Tech!G85)</f>
      </c>
      <c r="AE29" s="145">
        <f>IF(Tech!H85="",Tech!G85,Tech!G85-Tech!H85)</f>
      </c>
      <c r="AF29" s="145">
        <f>IF(Tech!I85="",Tech!H85,Tech!H85-Tech!I85)</f>
      </c>
      <c r="AG29" s="145">
        <f>IF(Tech!J85="",Tech!I85,Tech!I85-Tech!J85)</f>
      </c>
      <c r="AH29" s="145">
        <f>IF(Tech!K85="",Tech!J85,Tech!J85-Tech!K85)</f>
      </c>
      <c r="AI29" s="145">
        <f>IF(Tech!L85="",Tech!K85,Tech!K85-Tech!L85)</f>
      </c>
    </row>
    <row r="30" spans="22:35" ht="12.75">
      <c r="V30" s="102" t="str">
        <f t="shared" si="0"/>
        <v>---</v>
      </c>
      <c r="W30" s="123" t="str">
        <f t="shared" si="1"/>
        <v>---</v>
      </c>
      <c r="Y30" s="214">
        <f>IF(Tech!B86="","",Tech!B86)</f>
      </c>
      <c r="Z30" s="145">
        <f>IF(Tech!C86="","",1-Tech!C86)</f>
      </c>
      <c r="AA30" s="145">
        <f>IF(Tech!D86="",Tech!C86,Tech!C86-Tech!D86)</f>
      </c>
      <c r="AB30" s="145">
        <f>IF(Tech!E86="",Tech!D86,Tech!D86-Tech!E86)</f>
      </c>
      <c r="AC30" s="145">
        <f>IF(Tech!F86="",Tech!E86,Tech!E86-Tech!F86)</f>
      </c>
      <c r="AD30" s="145">
        <f>IF(Tech!G86="",Tech!F86,Tech!F86-Tech!G86)</f>
      </c>
      <c r="AE30" s="145">
        <f>IF(Tech!H86="",Tech!G86,Tech!G86-Tech!H86)</f>
      </c>
      <c r="AF30" s="145">
        <f>IF(Tech!I86="",Tech!H86,Tech!H86-Tech!I86)</f>
      </c>
      <c r="AG30" s="145">
        <f>IF(Tech!J86="",Tech!I86,Tech!I86-Tech!J86)</f>
      </c>
      <c r="AH30" s="145">
        <f>IF(Tech!K86="",Tech!J86,Tech!J86-Tech!K86)</f>
      </c>
      <c r="AI30" s="145">
        <f>IF(Tech!L86="",Tech!K86,Tech!K86-Tech!L86)</f>
      </c>
    </row>
    <row r="31" spans="22:35" ht="12.75">
      <c r="V31" s="102" t="str">
        <f t="shared" si="0"/>
        <v>---</v>
      </c>
      <c r="W31" s="123" t="str">
        <f t="shared" si="1"/>
        <v>---</v>
      </c>
      <c r="Y31" s="214">
        <f>IF(Tech!B87="","",Tech!B87)</f>
      </c>
      <c r="Z31" s="145">
        <f>IF(Tech!C87="","",1-Tech!C87)</f>
      </c>
      <c r="AA31" s="145">
        <f>IF(Tech!D87="",Tech!C87,Tech!C87-Tech!D87)</f>
      </c>
      <c r="AB31" s="145">
        <f>IF(Tech!E87="",Tech!D87,Tech!D87-Tech!E87)</f>
      </c>
      <c r="AC31" s="145">
        <f>IF(Tech!F87="",Tech!E87,Tech!E87-Tech!F87)</f>
      </c>
      <c r="AD31" s="145">
        <f>IF(Tech!G87="",Tech!F87,Tech!F87-Tech!G87)</f>
      </c>
      <c r="AE31" s="145">
        <f>IF(Tech!H87="",Tech!G87,Tech!G87-Tech!H87)</f>
      </c>
      <c r="AF31" s="145">
        <f>IF(Tech!I87="",Tech!H87,Tech!H87-Tech!I87)</f>
      </c>
      <c r="AG31" s="145">
        <f>IF(Tech!J87="",Tech!I87,Tech!I87-Tech!J87)</f>
      </c>
      <c r="AH31" s="145">
        <f>IF(Tech!K87="",Tech!J87,Tech!J87-Tech!K87)</f>
      </c>
      <c r="AI31" s="145">
        <f>IF(Tech!L87="",Tech!K87,Tech!K87-Tech!L87)</f>
      </c>
    </row>
    <row r="32" spans="22:35" ht="12.75">
      <c r="V32" s="102" t="str">
        <f t="shared" si="0"/>
        <v>---</v>
      </c>
      <c r="W32" s="123" t="str">
        <f t="shared" si="1"/>
        <v>---</v>
      </c>
      <c r="Y32" s="214">
        <f>IF(Tech!B88="","",Tech!B88)</f>
      </c>
      <c r="Z32" s="145">
        <f>IF(Tech!C88="","",1-Tech!C88)</f>
      </c>
      <c r="AA32" s="145">
        <f>IF(Tech!D88="",Tech!C88,Tech!C88-Tech!D88)</f>
      </c>
      <c r="AB32" s="145">
        <f>IF(Tech!E88="",Tech!D88,Tech!D88-Tech!E88)</f>
      </c>
      <c r="AC32" s="145">
        <f>IF(Tech!F88="",Tech!E88,Tech!E88-Tech!F88)</f>
      </c>
      <c r="AD32" s="145">
        <f>IF(Tech!G88="",Tech!F88,Tech!F88-Tech!G88)</f>
      </c>
      <c r="AE32" s="145">
        <f>IF(Tech!H88="",Tech!G88,Tech!G88-Tech!H88)</f>
      </c>
      <c r="AF32" s="145">
        <f>IF(Tech!I88="",Tech!H88,Tech!H88-Tech!I88)</f>
      </c>
      <c r="AG32" s="145">
        <f>IF(Tech!J88="",Tech!I88,Tech!I88-Tech!J88)</f>
      </c>
      <c r="AH32" s="145">
        <f>IF(Tech!K88="",Tech!J88,Tech!J88-Tech!K88)</f>
      </c>
      <c r="AI32" s="145">
        <f>IF(Tech!L88="",Tech!K88,Tech!K88-Tech!L88)</f>
      </c>
    </row>
    <row r="33" spans="22:35" ht="12.75">
      <c r="V33" s="102" t="str">
        <f t="shared" si="0"/>
        <v>---</v>
      </c>
      <c r="W33" s="123" t="str">
        <f t="shared" si="1"/>
        <v>---</v>
      </c>
      <c r="Y33" s="214">
        <f>IF(Tech!B89="","",Tech!B89)</f>
      </c>
      <c r="Z33" s="145">
        <f>IF(Tech!C89="","",1-Tech!C89)</f>
      </c>
      <c r="AA33" s="145">
        <f>IF(Tech!D89="",Tech!C89,Tech!C89-Tech!D89)</f>
      </c>
      <c r="AB33" s="145">
        <f>IF(Tech!E89="",Tech!D89,Tech!D89-Tech!E89)</f>
      </c>
      <c r="AC33" s="145">
        <f>IF(Tech!F89="",Tech!E89,Tech!E89-Tech!F89)</f>
      </c>
      <c r="AD33" s="145">
        <f>IF(Tech!G89="",Tech!F89,Tech!F89-Tech!G89)</f>
      </c>
      <c r="AE33" s="145">
        <f>IF(Tech!H89="",Tech!G89,Tech!G89-Tech!H89)</f>
      </c>
      <c r="AF33" s="145">
        <f>IF(Tech!I89="",Tech!H89,Tech!H89-Tech!I89)</f>
      </c>
      <c r="AG33" s="145">
        <f>IF(Tech!J89="",Tech!I89,Tech!I89-Tech!J89)</f>
      </c>
      <c r="AH33" s="145">
        <f>IF(Tech!K89="",Tech!J89,Tech!J89-Tech!K89)</f>
      </c>
      <c r="AI33" s="145">
        <f>IF(Tech!L89="",Tech!K89,Tech!K89-Tech!L89)</f>
      </c>
    </row>
    <row r="34" spans="22:35" ht="12.75">
      <c r="V34" s="102" t="str">
        <f t="shared" si="0"/>
        <v>---</v>
      </c>
      <c r="W34" s="123" t="str">
        <f t="shared" si="1"/>
        <v>---</v>
      </c>
      <c r="Y34" s="214">
        <f>IF(Tech!B90="","",Tech!B90)</f>
      </c>
      <c r="Z34" s="145">
        <f>IF(Tech!C90="","",1-Tech!C90)</f>
      </c>
      <c r="AA34" s="145">
        <f>IF(Tech!D90="",Tech!C90,Tech!C90-Tech!D90)</f>
      </c>
      <c r="AB34" s="145">
        <f>IF(Tech!E90="",Tech!D90,Tech!D90-Tech!E90)</f>
      </c>
      <c r="AC34" s="145">
        <f>IF(Tech!F90="",Tech!E90,Tech!E90-Tech!F90)</f>
      </c>
      <c r="AD34" s="145">
        <f>IF(Tech!G90="",Tech!F90,Tech!F90-Tech!G90)</f>
      </c>
      <c r="AE34" s="145">
        <f>IF(Tech!H90="",Tech!G90,Tech!G90-Tech!H90)</f>
      </c>
      <c r="AF34" s="145">
        <f>IF(Tech!I90="",Tech!H90,Tech!H90-Tech!I90)</f>
      </c>
      <c r="AG34" s="145">
        <f>IF(Tech!J90="",Tech!I90,Tech!I90-Tech!J90)</f>
      </c>
      <c r="AH34" s="145">
        <f>IF(Tech!K90="",Tech!J90,Tech!J90-Tech!K90)</f>
      </c>
      <c r="AI34" s="145">
        <f>IF(Tech!L90="",Tech!K90,Tech!K90-Tech!L90)</f>
      </c>
    </row>
    <row r="35" spans="22:35" ht="12.75">
      <c r="V35" s="102" t="str">
        <f t="shared" si="0"/>
        <v>---</v>
      </c>
      <c r="W35" s="123" t="str">
        <f t="shared" si="1"/>
        <v>---</v>
      </c>
      <c r="Y35" s="215">
        <f>IF(Tech!B91="","",Tech!B91)</f>
      </c>
      <c r="Z35" s="153">
        <f>IF(Tech!C91="","",1-Tech!C91)</f>
      </c>
      <c r="AA35" s="153">
        <f>IF(Tech!D91="",Tech!C91,Tech!C91-Tech!D91)</f>
      </c>
      <c r="AB35" s="153">
        <f>IF(Tech!E91="",Tech!D91,Tech!D91-Tech!E91)</f>
      </c>
      <c r="AC35" s="153">
        <f>IF(Tech!F91="",Tech!E91,Tech!E91-Tech!F91)</f>
      </c>
      <c r="AD35" s="153">
        <f>IF(Tech!G91="",Tech!F91,Tech!F91-Tech!G91)</f>
      </c>
      <c r="AE35" s="153">
        <f>IF(Tech!H91="",Tech!G91,Tech!G91-Tech!H91)</f>
      </c>
      <c r="AF35" s="153">
        <f>IF(Tech!I91="",Tech!H91,Tech!H91-Tech!I91)</f>
      </c>
      <c r="AG35" s="153">
        <f>IF(Tech!J91="",Tech!I91,Tech!I91-Tech!J91)</f>
      </c>
      <c r="AH35" s="153">
        <f>IF(Tech!K91="",Tech!J91,Tech!J91-Tech!K91)</f>
      </c>
      <c r="AI35" s="153">
        <f>IF(Tech!L91="",Tech!K91,Tech!K91-Tech!L91)</f>
      </c>
    </row>
    <row r="36" spans="22:23" ht="12.75">
      <c r="V36" s="102" t="str">
        <f t="shared" si="0"/>
        <v>---</v>
      </c>
      <c r="W36" s="123" t="str">
        <f t="shared" si="1"/>
        <v>---</v>
      </c>
    </row>
    <row r="37" spans="22:23" ht="12.75">
      <c r="V37" s="102" t="str">
        <f t="shared" si="0"/>
        <v>---</v>
      </c>
      <c r="W37" s="123" t="str">
        <f t="shared" si="1"/>
        <v>---</v>
      </c>
    </row>
    <row r="38" spans="22:23" ht="12.75">
      <c r="V38" s="102" t="str">
        <f t="shared" si="0"/>
        <v>---</v>
      </c>
      <c r="W38" s="123" t="str">
        <f t="shared" si="1"/>
        <v>---</v>
      </c>
    </row>
    <row r="39" spans="22:23" ht="12.75">
      <c r="V39" s="102" t="str">
        <f t="shared" si="0"/>
        <v>---</v>
      </c>
      <c r="W39" s="123" t="str">
        <f t="shared" si="1"/>
        <v>---</v>
      </c>
    </row>
    <row r="40" spans="22:23" ht="12.75">
      <c r="V40" s="102" t="str">
        <f t="shared" si="0"/>
        <v>---</v>
      </c>
      <c r="W40" s="123" t="str">
        <f t="shared" si="1"/>
        <v>---</v>
      </c>
    </row>
    <row r="41" spans="22:23" ht="12.75">
      <c r="V41" s="102" t="str">
        <f t="shared" si="0"/>
        <v>---</v>
      </c>
      <c r="W41" s="123" t="str">
        <f t="shared" si="1"/>
        <v>---</v>
      </c>
    </row>
    <row r="42" spans="22:23" ht="12.75">
      <c r="V42" s="102" t="str">
        <f t="shared" si="0"/>
        <v>---</v>
      </c>
      <c r="W42" s="123" t="str">
        <f t="shared" si="1"/>
        <v>---</v>
      </c>
    </row>
    <row r="43" spans="22:23" ht="12.75">
      <c r="V43" s="102" t="str">
        <f t="shared" si="0"/>
        <v>---</v>
      </c>
      <c r="W43" s="123" t="str">
        <f t="shared" si="1"/>
        <v>---</v>
      </c>
    </row>
    <row r="44" spans="22:23" ht="12.75">
      <c r="V44" s="102" t="str">
        <f t="shared" si="0"/>
        <v>---</v>
      </c>
      <c r="W44" s="123" t="str">
        <f t="shared" si="1"/>
        <v>---</v>
      </c>
    </row>
    <row r="45" spans="22:23" ht="12.75">
      <c r="V45" s="102" t="str">
        <f t="shared" si="0"/>
        <v>---</v>
      </c>
      <c r="W45" s="123" t="str">
        <f t="shared" si="1"/>
        <v>---</v>
      </c>
    </row>
    <row r="46" spans="22:23" ht="12.75">
      <c r="V46" s="102" t="str">
        <f t="shared" si="0"/>
        <v>---</v>
      </c>
      <c r="W46" s="123" t="str">
        <f t="shared" si="1"/>
        <v>---</v>
      </c>
    </row>
    <row r="47" spans="22:23" ht="12.75">
      <c r="V47" s="102" t="str">
        <f t="shared" si="0"/>
        <v>---</v>
      </c>
      <c r="W47" s="123" t="str">
        <f t="shared" si="1"/>
        <v>---</v>
      </c>
    </row>
    <row r="48" spans="22:23" ht="12.75">
      <c r="V48" s="102" t="str">
        <f t="shared" si="0"/>
        <v>---</v>
      </c>
      <c r="W48" s="123" t="str">
        <f t="shared" si="1"/>
        <v>---</v>
      </c>
    </row>
    <row r="49" spans="22:23" ht="12.75">
      <c r="V49" s="102" t="str">
        <f t="shared" si="0"/>
        <v>---</v>
      </c>
      <c r="W49" s="123" t="str">
        <f t="shared" si="1"/>
        <v>---</v>
      </c>
    </row>
    <row r="50" spans="22:23" ht="12.75">
      <c r="V50" s="102" t="str">
        <f t="shared" si="0"/>
        <v>---</v>
      </c>
      <c r="W50" s="123" t="str">
        <f t="shared" si="1"/>
        <v>---</v>
      </c>
    </row>
    <row r="51" spans="22:23" ht="12.75">
      <c r="V51" s="102" t="str">
        <f t="shared" si="0"/>
        <v>---</v>
      </c>
      <c r="W51" s="123" t="str">
        <f t="shared" si="1"/>
        <v>---</v>
      </c>
    </row>
    <row r="52" spans="22:23" ht="12.75">
      <c r="V52" s="102" t="str">
        <f t="shared" si="0"/>
        <v>---</v>
      </c>
      <c r="W52" s="123" t="str">
        <f t="shared" si="1"/>
        <v>---</v>
      </c>
    </row>
    <row r="53" spans="22:23" ht="12.75">
      <c r="V53" s="102" t="str">
        <f t="shared" si="0"/>
        <v>---</v>
      </c>
      <c r="W53" s="123" t="str">
        <f t="shared" si="1"/>
        <v>---</v>
      </c>
    </row>
    <row r="54" spans="22:23" ht="12.75">
      <c r="V54" s="102" t="str">
        <f t="shared" si="0"/>
        <v>---</v>
      </c>
      <c r="W54" s="123" t="str">
        <f t="shared" si="1"/>
        <v>---</v>
      </c>
    </row>
    <row r="55" spans="22:23" ht="12.75">
      <c r="V55" s="102" t="str">
        <f t="shared" si="0"/>
        <v>---</v>
      </c>
      <c r="W55" s="123" t="str">
        <f t="shared" si="1"/>
        <v>---</v>
      </c>
    </row>
    <row r="56" spans="22:23" ht="12.75">
      <c r="V56" s="102" t="str">
        <f t="shared" si="0"/>
        <v>---</v>
      </c>
      <c r="W56" s="123" t="str">
        <f t="shared" si="1"/>
        <v>---</v>
      </c>
    </row>
    <row r="57" spans="22:23" ht="12.75">
      <c r="V57" s="102" t="str">
        <f t="shared" si="0"/>
        <v>---</v>
      </c>
      <c r="W57" s="123" t="str">
        <f t="shared" si="1"/>
        <v>---</v>
      </c>
    </row>
    <row r="58" spans="22:23" ht="12.75">
      <c r="V58" s="102" t="str">
        <f t="shared" si="0"/>
        <v>---</v>
      </c>
      <c r="W58" s="123" t="str">
        <f t="shared" si="1"/>
        <v>---</v>
      </c>
    </row>
    <row r="59" spans="22:23" ht="12.75">
      <c r="V59" s="102" t="str">
        <f t="shared" si="0"/>
        <v>---</v>
      </c>
      <c r="W59" s="123" t="str">
        <f t="shared" si="1"/>
        <v>---</v>
      </c>
    </row>
    <row r="60" spans="22:23" ht="12.75">
      <c r="V60" s="102" t="str">
        <f t="shared" si="0"/>
        <v>---</v>
      </c>
      <c r="W60" s="123" t="str">
        <f t="shared" si="1"/>
        <v>---</v>
      </c>
    </row>
    <row r="61" spans="22:23" ht="12.75">
      <c r="V61" s="102" t="str">
        <f t="shared" si="0"/>
        <v>---</v>
      </c>
      <c r="W61" s="123" t="str">
        <f t="shared" si="1"/>
        <v>---</v>
      </c>
    </row>
    <row r="62" spans="22:23" ht="12.75">
      <c r="V62" s="102" t="str">
        <f t="shared" si="0"/>
        <v>---</v>
      </c>
      <c r="W62" s="123" t="str">
        <f t="shared" si="1"/>
        <v>---</v>
      </c>
    </row>
    <row r="63" spans="22:23" ht="12.75">
      <c r="V63" s="102" t="str">
        <f t="shared" si="0"/>
        <v>---</v>
      </c>
      <c r="W63" s="123" t="str">
        <f t="shared" si="1"/>
        <v>---</v>
      </c>
    </row>
    <row r="64" spans="22:23" ht="12.75">
      <c r="V64" s="102" t="str">
        <f t="shared" si="0"/>
        <v>---</v>
      </c>
      <c r="W64" s="123" t="str">
        <f t="shared" si="1"/>
        <v>---</v>
      </c>
    </row>
    <row r="65" spans="22:23" ht="12.75">
      <c r="V65" s="103" t="str">
        <f t="shared" si="0"/>
        <v>---</v>
      </c>
      <c r="W65" s="125" t="str">
        <f t="shared" si="1"/>
        <v>---</v>
      </c>
    </row>
  </sheetData>
  <sheetProtection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X216"/>
  <sheetViews>
    <sheetView showGridLines="0" zoomScale="95" zoomScaleNormal="95" workbookViewId="0" topLeftCell="A1">
      <selection activeCell="A1" sqref="A1"/>
    </sheetView>
  </sheetViews>
  <sheetFormatPr defaultColWidth="9.140625" defaultRowHeight="12.75"/>
  <cols>
    <col min="1" max="1" width="2.57421875" style="40" customWidth="1"/>
    <col min="2" max="3" width="9.140625" style="40" customWidth="1"/>
    <col min="4" max="4" width="10.7109375" style="40" customWidth="1"/>
    <col min="5" max="16" width="9.140625" style="40" customWidth="1"/>
    <col min="17" max="17" width="12.28125" style="40" customWidth="1"/>
    <col min="18" max="16384" width="9.140625" style="40" customWidth="1"/>
  </cols>
  <sheetData>
    <row r="1" spans="1:15" ht="21.75" customHeight="1">
      <c r="A1" s="42"/>
      <c r="B1" s="83" t="s">
        <v>85</v>
      </c>
      <c r="C1" s="42"/>
      <c r="D1" s="42"/>
      <c r="E1" s="42"/>
      <c r="F1" s="42"/>
      <c r="G1" s="88" t="s">
        <v>99</v>
      </c>
      <c r="H1" s="42"/>
      <c r="I1" s="42"/>
      <c r="J1" s="42"/>
      <c r="K1" s="42"/>
      <c r="L1" s="42"/>
      <c r="M1" s="42"/>
      <c r="N1" s="42"/>
      <c r="O1" s="42"/>
    </row>
    <row r="2" spans="1:15" ht="18" customHeight="1">
      <c r="A2" s="42"/>
      <c r="B2" s="42"/>
      <c r="C2" s="45" t="s">
        <v>59</v>
      </c>
      <c r="D2" s="46"/>
      <c r="E2" s="42"/>
      <c r="F2" s="42"/>
      <c r="G2" s="42"/>
      <c r="I2" s="42"/>
      <c r="J2" s="42"/>
      <c r="K2" s="42"/>
      <c r="L2" s="42"/>
      <c r="M2" s="42"/>
      <c r="N2" s="42"/>
      <c r="O2" s="42"/>
    </row>
    <row r="3" spans="1:15" ht="15" customHeight="1">
      <c r="A3" s="42"/>
      <c r="B3" s="42"/>
      <c r="C3" s="107" t="s">
        <v>120</v>
      </c>
      <c r="D3" s="56" t="s">
        <v>123</v>
      </c>
      <c r="E3" s="57"/>
      <c r="O3" s="42"/>
    </row>
    <row r="4" spans="1:15" ht="15" customHeight="1">
      <c r="A4" s="42"/>
      <c r="B4" s="42"/>
      <c r="C4" s="84"/>
      <c r="D4" s="12" t="s">
        <v>124</v>
      </c>
      <c r="E4" s="57"/>
      <c r="F4" s="57"/>
      <c r="G4" s="57"/>
      <c r="I4" s="57"/>
      <c r="J4" s="42"/>
      <c r="K4" s="42"/>
      <c r="L4" s="42"/>
      <c r="M4" s="42"/>
      <c r="N4" s="42"/>
      <c r="O4" s="42"/>
    </row>
    <row r="5" spans="3:15" ht="15" customHeight="1">
      <c r="C5" s="107" t="s">
        <v>121</v>
      </c>
      <c r="D5" s="40" t="s">
        <v>99</v>
      </c>
      <c r="O5" s="42"/>
    </row>
    <row r="6" spans="14:15" ht="15" customHeight="1">
      <c r="N6" s="42"/>
      <c r="O6" s="42"/>
    </row>
    <row r="7" spans="14:15" ht="15" customHeight="1">
      <c r="N7" s="42"/>
      <c r="O7" s="42"/>
    </row>
    <row r="8" spans="5:15" ht="15" customHeight="1">
      <c r="E8" s="61"/>
      <c r="N8" s="42"/>
      <c r="O8" s="42"/>
    </row>
    <row r="9" spans="4:15" ht="15" customHeight="1"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42"/>
    </row>
    <row r="10" spans="14:15" ht="15" customHeight="1">
      <c r="N10" s="42"/>
      <c r="O10" s="42"/>
    </row>
    <row r="11" spans="1:46" ht="15" customHeight="1">
      <c r="A11" s="50"/>
      <c r="B11" s="50"/>
      <c r="C11" s="50"/>
      <c r="D11" s="63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</row>
    <row r="12" spans="1:50" ht="24" customHeight="1" thickBot="1">
      <c r="A12" s="108"/>
      <c r="B12" s="109" t="s">
        <v>96</v>
      </c>
      <c r="C12" s="110"/>
      <c r="D12" s="111"/>
      <c r="E12" s="111"/>
      <c r="F12" s="111"/>
      <c r="G12" s="110"/>
      <c r="H12" s="110"/>
      <c r="I12" s="110"/>
      <c r="J12" s="110"/>
      <c r="K12" s="110"/>
      <c r="L12" s="110"/>
      <c r="M12" s="110"/>
      <c r="N12" s="110"/>
      <c r="P12" s="99" t="s">
        <v>137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S12" s="99" t="s">
        <v>138</v>
      </c>
      <c r="AT12" s="100"/>
      <c r="AX12" s="112"/>
    </row>
    <row r="13" spans="2:50" ht="14.25" thickBot="1" thickTop="1">
      <c r="B13" s="113"/>
      <c r="C13" s="113"/>
      <c r="D13" s="113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Q13" s="254"/>
      <c r="R13" s="256" t="s">
        <v>128</v>
      </c>
      <c r="S13" s="254"/>
      <c r="T13" s="255"/>
      <c r="U13" s="255" t="s">
        <v>129</v>
      </c>
      <c r="V13" s="255"/>
      <c r="W13" s="254"/>
      <c r="X13" s="256" t="s">
        <v>130</v>
      </c>
      <c r="Y13" s="254"/>
      <c r="Z13" s="255"/>
      <c r="AA13" s="255" t="s">
        <v>131</v>
      </c>
      <c r="AB13" s="255"/>
      <c r="AC13" s="254"/>
      <c r="AD13" s="256" t="s">
        <v>132</v>
      </c>
      <c r="AE13" s="254"/>
      <c r="AF13" s="255"/>
      <c r="AG13" s="255" t="s">
        <v>133</v>
      </c>
      <c r="AH13" s="255"/>
      <c r="AI13" s="254"/>
      <c r="AJ13" s="256" t="s">
        <v>134</v>
      </c>
      <c r="AK13" s="254"/>
      <c r="AL13" s="255"/>
      <c r="AM13" s="255" t="s">
        <v>135</v>
      </c>
      <c r="AN13" s="255"/>
      <c r="AO13" s="254"/>
      <c r="AP13" s="256" t="s">
        <v>136</v>
      </c>
      <c r="AQ13" s="254"/>
      <c r="AX13" s="112"/>
    </row>
    <row r="14" spans="2:50" ht="12.75">
      <c r="B14" s="115" t="s">
        <v>1</v>
      </c>
      <c r="C14" s="115" t="s">
        <v>54</v>
      </c>
      <c r="D14" s="115" t="s">
        <v>86</v>
      </c>
      <c r="E14" s="116" t="str">
        <f>cat1</f>
        <v>SD</v>
      </c>
      <c r="F14" s="116" t="str">
        <f>cat2</f>
        <v>D</v>
      </c>
      <c r="G14" s="116" t="str">
        <f>IF(cat3="","",cat3)</f>
        <v>A</v>
      </c>
      <c r="H14" s="116" t="str">
        <f>IF(cat4="","",cat4)</f>
        <v>SA</v>
      </c>
      <c r="I14" s="116">
        <f>IF(cat5="","",cat5)</f>
      </c>
      <c r="J14" s="116">
        <f>IF(cat6="","",cat6)</f>
      </c>
      <c r="K14" s="116">
        <f>IF(cat7="","",cat7)</f>
      </c>
      <c r="L14" s="116">
        <f>IF(cat8="","",cat8)</f>
      </c>
      <c r="M14" s="116">
        <f>IF(cat9="","",cat9)</f>
      </c>
      <c r="N14" s="116">
        <f>IF(cat10="","",cat10)</f>
      </c>
      <c r="P14" s="50" t="s">
        <v>108</v>
      </c>
      <c r="Q14" s="257" t="s">
        <v>125</v>
      </c>
      <c r="R14" s="257" t="s">
        <v>126</v>
      </c>
      <c r="S14" s="257" t="s">
        <v>127</v>
      </c>
      <c r="T14" s="257" t="s">
        <v>125</v>
      </c>
      <c r="U14" s="257" t="s">
        <v>126</v>
      </c>
      <c r="V14" s="257" t="s">
        <v>127</v>
      </c>
      <c r="W14" s="257" t="s">
        <v>125</v>
      </c>
      <c r="X14" s="257" t="s">
        <v>126</v>
      </c>
      <c r="Y14" s="257" t="s">
        <v>127</v>
      </c>
      <c r="Z14" s="257" t="s">
        <v>125</v>
      </c>
      <c r="AA14" s="257" t="s">
        <v>126</v>
      </c>
      <c r="AB14" s="257" t="s">
        <v>127</v>
      </c>
      <c r="AC14" s="257" t="s">
        <v>125</v>
      </c>
      <c r="AD14" s="257" t="s">
        <v>126</v>
      </c>
      <c r="AE14" s="257" t="s">
        <v>127</v>
      </c>
      <c r="AF14" s="257" t="s">
        <v>125</v>
      </c>
      <c r="AG14" s="257" t="s">
        <v>126</v>
      </c>
      <c r="AH14" s="257" t="s">
        <v>127</v>
      </c>
      <c r="AI14" s="257" t="s">
        <v>125</v>
      </c>
      <c r="AJ14" s="257" t="s">
        <v>126</v>
      </c>
      <c r="AK14" s="257" t="s">
        <v>127</v>
      </c>
      <c r="AL14" s="257" t="s">
        <v>125</v>
      </c>
      <c r="AM14" s="257" t="s">
        <v>126</v>
      </c>
      <c r="AN14" s="257" t="s">
        <v>127</v>
      </c>
      <c r="AO14" s="257" t="s">
        <v>125</v>
      </c>
      <c r="AP14" s="257" t="s">
        <v>126</v>
      </c>
      <c r="AQ14" s="257" t="s">
        <v>127</v>
      </c>
      <c r="AS14" s="50" t="s">
        <v>75</v>
      </c>
      <c r="AT14" s="50" t="s">
        <v>19</v>
      </c>
      <c r="AX14" s="112"/>
    </row>
    <row r="15" spans="5:46" ht="12.75">
      <c r="E15" s="42"/>
      <c r="F15" s="42"/>
      <c r="G15" s="42"/>
      <c r="H15" s="42"/>
      <c r="I15" s="42"/>
      <c r="J15" s="42"/>
      <c r="K15" s="42"/>
      <c r="L15" s="42"/>
      <c r="M15" s="42"/>
      <c r="N15" s="42"/>
      <c r="AS15" s="117"/>
      <c r="AT15" s="117"/>
    </row>
    <row r="16" spans="2:50" ht="12.75">
      <c r="B16" s="118" t="str">
        <f>AS16</f>
        <v>YR89</v>
      </c>
      <c r="C16" s="119" t="s">
        <v>55</v>
      </c>
      <c r="D16" s="85">
        <f aca="true" t="shared" si="0" ref="D16:D24">IF(E16="","",(+myabsk(E16,F16,G16,H16,I16,J16,K16,L16,M16,N16,O16))/COUNT(E16:N16))</f>
        <v>0.06525833743425635</v>
      </c>
      <c r="E16" s="86">
        <f>IF($AX$16="b",Tech!O$16,"")</f>
        <v>-0.08812301279729318</v>
      </c>
      <c r="F16" s="86">
        <f>IF($AX$16="b",Tech!P$16,"")</f>
        <v>-0.04239366207121953</v>
      </c>
      <c r="G16" s="86">
        <f>IF(AND(G$14&lt;&gt;"",$AX$16="b"),Tech!Q$16,"")</f>
        <v>0.08515054207134529</v>
      </c>
      <c r="H16" s="86">
        <f>IF(AND(H$14&lt;&gt;"",$AX$16="b"),Tech!R$16,"")</f>
        <v>0.04536613279716745</v>
      </c>
      <c r="I16" s="86">
        <f>IF(AND(I$14&lt;&gt;"",$AX$16="b"),Tech!S$16,"")</f>
      </c>
      <c r="J16" s="86">
        <f>IF(AND(J$14&lt;&gt;"",$AX$16="b"),Tech!T$16,"")</f>
      </c>
      <c r="K16" s="86">
        <f>IF(AND(K$14&lt;&gt;"",$AX$16="b"),Tech!U$16,"")</f>
      </c>
      <c r="L16" s="86">
        <f>IF(AND(L$14&lt;&gt;"",$AX$16="b"),Tech!V$16,"")</f>
      </c>
      <c r="M16" s="86">
        <f>IF(AND(M$14&lt;&gt;"",$AX$16="b"),Tech!W$16,"")</f>
      </c>
      <c r="N16" s="86">
        <f>IF(AND(N$14&lt;&gt;"",$AX$16="b"),Tech!X$16,"")</f>
      </c>
      <c r="P16" s="40" t="str">
        <f>RHV</f>
        <v>YR89</v>
      </c>
      <c r="Q16" s="258">
        <f>IF(e1b="","",e1b)</f>
        <v>0.95575</v>
      </c>
      <c r="R16" s="259">
        <f>IF(Q16="","",EXP(Q16))</f>
        <v>2.600620316915566</v>
      </c>
      <c r="S16" s="259">
        <f>IF(R16="","",EXP(Q16*SD))</f>
        <v>1.5973044663545033</v>
      </c>
      <c r="T16" s="258">
        <f>IF(e2b="","",e2b)</f>
        <v>0.5363707</v>
      </c>
      <c r="U16" s="259">
        <f>IF(T16="","",EXP(T16))</f>
        <v>1.709790246285649</v>
      </c>
      <c r="V16" s="259">
        <f>IF(U16="","",EXP(T16*SD))</f>
        <v>1.3005947280898242</v>
      </c>
      <c r="W16" s="258">
        <f>IF(e3b="","",e3b)</f>
        <v>0.3312184</v>
      </c>
      <c r="X16" s="259">
        <f>IF(W16="","",EXP(W16))</f>
        <v>1.3926639168960306</v>
      </c>
      <c r="Y16" s="259">
        <f>IF(X16="","",EXP(W16*SD))</f>
        <v>1.1762095424978871</v>
      </c>
      <c r="Z16" s="258">
        <f>IF(e4b="","",e4b)</f>
      </c>
      <c r="AA16" s="259">
        <f>IF(Z16="","",EXP(Z16))</f>
      </c>
      <c r="AB16" s="259">
        <f>IF(AA16="","",EXP(Z16*SD))</f>
      </c>
      <c r="AC16" s="258">
        <f>IF(e5b="","",e5b)</f>
      </c>
      <c r="AD16" s="259">
        <f>IF(AC16="","",EXP(AC16))</f>
      </c>
      <c r="AE16" s="259">
        <f>IF(AD16="","",EXP(AC16*SD))</f>
      </c>
      <c r="AF16" s="258">
        <f>IF(e6b="","",e6b)</f>
      </c>
      <c r="AG16" s="259">
        <f>IF(AF16="","",EXP(AF16))</f>
      </c>
      <c r="AH16" s="259">
        <f>IF(AG16="","",EXP(AF16*SD))</f>
      </c>
      <c r="AI16" s="258">
        <f>IF(e7b="","",e7b)</f>
      </c>
      <c r="AJ16" s="259">
        <f>IF(AI16="","",EXP(AI16))</f>
      </c>
      <c r="AK16" s="259">
        <f>IF(AJ16="","",EXP(AI16*SD))</f>
      </c>
      <c r="AL16" s="258">
        <f>IF(e8b="","",e8b)</f>
      </c>
      <c r="AM16" s="259">
        <f>IF(AL16="","",EXP(AL16))</f>
      </c>
      <c r="AN16" s="259">
        <f>IF(AM16="","",EXP(AL16*SD))</f>
      </c>
      <c r="AO16" s="258">
        <f>IF(e9b="","",e9b)</f>
      </c>
      <c r="AP16" s="259">
        <f>IF(AO16="","",EXP(AO16))</f>
      </c>
      <c r="AQ16" s="259">
        <f>IF(AP16="","",EXP(AO16*SD))</f>
      </c>
      <c r="AS16" s="102" t="str">
        <f>RHV</f>
        <v>YR89</v>
      </c>
      <c r="AT16" s="120">
        <f>IF(Bval="","---",Bval)</f>
        <v>0.4</v>
      </c>
      <c r="AX16" s="121" t="str">
        <f>IF(Vtype="","",Vtype)</f>
        <v>B</v>
      </c>
    </row>
    <row r="17" spans="2:50" ht="12.75">
      <c r="B17" s="118"/>
      <c r="C17" s="122" t="s">
        <v>56</v>
      </c>
      <c r="D17" s="85">
        <f t="shared" si="0"/>
      </c>
      <c r="E17" s="86">
        <f>IF($AX$16="c",Tech!AA$16,"")</f>
      </c>
      <c r="F17" s="86">
        <f>IF($AX$16="c",Tech!AB$16,"")</f>
      </c>
      <c r="G17" s="86">
        <f>IF(AND(G$14&lt;&gt;"",$AX$16="c"),Tech!AC$16,"")</f>
      </c>
      <c r="H17" s="86">
        <f>IF(AND(H$14&lt;&gt;"",$AX$16="c"),Tech!AD$16,"")</f>
      </c>
      <c r="I17" s="86">
        <f>IF(AND(I$14&lt;&gt;"",$AX$16="c"),Tech!AE$16,"")</f>
      </c>
      <c r="J17" s="86">
        <f>IF(AND(J$14&lt;&gt;"",$AX$16="c"),Tech!AF$16,"")</f>
      </c>
      <c r="K17" s="86">
        <f>IF(AND(K$14&lt;&gt;"",$AX$16="c"),Tech!AG$16,"")</f>
      </c>
      <c r="L17" s="86">
        <f>IF(AND(L$14&lt;&gt;"",$AX$16="c"),Tech!AH$16,"")</f>
      </c>
      <c r="M17" s="86">
        <f>IF(AND(M$14&lt;&gt;"",$AX$16="c"),Tech!AI$16,"")</f>
      </c>
      <c r="N17" s="86">
        <f>IF(AND(N$14&lt;&gt;"",$AX$16="c"),Tech!AJ$16,"")</f>
      </c>
      <c r="P17" s="40" t="str">
        <f>IF(RHV="","",RHV)</f>
        <v>MALE</v>
      </c>
      <c r="Q17" s="260">
        <f aca="true" t="shared" si="1" ref="Q17:Q65">IF(e1b="","",e1b)</f>
        <v>-0.300975</v>
      </c>
      <c r="R17" s="261">
        <f aca="true" t="shared" si="2" ref="R17:R65">IF(Q17="","",EXP(Q17))</f>
        <v>0.7400962749223026</v>
      </c>
      <c r="S17" s="261">
        <f aca="true" t="shared" si="3" ref="S17:S65">IF(R17="","",EXP(Q17*SD))</f>
        <v>0.8602884835462478</v>
      </c>
      <c r="T17" s="260">
        <f aca="true" t="shared" si="4" ref="T17:T65">IF(e2b="","",e2b)</f>
        <v>-0.7179949</v>
      </c>
      <c r="U17" s="261">
        <f aca="true" t="shared" si="5" ref="U17:U65">IF(T17="","",EXP(T17))</f>
        <v>0.4877292220384206</v>
      </c>
      <c r="V17" s="261">
        <f aca="true" t="shared" si="6" ref="V17:V65">IF(U17="","",EXP(T17*SD))</f>
        <v>0.6983761322084401</v>
      </c>
      <c r="W17" s="260">
        <f aca="true" t="shared" si="7" ref="W17:W65">IF(e3b="","",e3b)</f>
        <v>-1.085618</v>
      </c>
      <c r="X17" s="261">
        <f aca="true" t="shared" si="8" ref="X17:X65">IF(W17="","",EXP(W17))</f>
        <v>0.33769302710414056</v>
      </c>
      <c r="Y17" s="261">
        <f aca="true" t="shared" si="9" ref="Y17:Y65">IF(X17="","",EXP(W17*SD))</f>
        <v>0.5811136094638815</v>
      </c>
      <c r="Z17" s="260">
        <f aca="true" t="shared" si="10" ref="Z17:Z65">IF(e4b="","",e4b)</f>
      </c>
      <c r="AA17" s="261">
        <f aca="true" t="shared" si="11" ref="AA17:AA65">IF(Z17="","",EXP(Z17))</f>
      </c>
      <c r="AB17" s="261">
        <f aca="true" t="shared" si="12" ref="AB17:AB65">IF(AA17="","",EXP(Z17*SD))</f>
      </c>
      <c r="AC17" s="260">
        <f aca="true" t="shared" si="13" ref="AC17:AC65">IF(e5b="","",e5b)</f>
      </c>
      <c r="AD17" s="261">
        <f aca="true" t="shared" si="14" ref="AD17:AD65">IF(AC17="","",EXP(AC17))</f>
      </c>
      <c r="AE17" s="261">
        <f aca="true" t="shared" si="15" ref="AE17:AE65">IF(AD17="","",EXP(AC17*SD))</f>
      </c>
      <c r="AF17" s="260">
        <f aca="true" t="shared" si="16" ref="AF17:AF65">IF(e6b="","",e6b)</f>
      </c>
      <c r="AG17" s="261">
        <f aca="true" t="shared" si="17" ref="AG17:AG65">IF(AF17="","",EXP(AF17))</f>
      </c>
      <c r="AH17" s="261">
        <f aca="true" t="shared" si="18" ref="AH17:AH65">IF(AG17="","",EXP(AF17*SD))</f>
      </c>
      <c r="AI17" s="260">
        <f aca="true" t="shared" si="19" ref="AI17:AI65">IF(e7b="","",e7b)</f>
      </c>
      <c r="AJ17" s="261">
        <f aca="true" t="shared" si="20" ref="AJ17:AJ65">IF(AI17="","",EXP(AI17))</f>
      </c>
      <c r="AK17" s="261">
        <f aca="true" t="shared" si="21" ref="AK17:AK65">IF(AJ17="","",EXP(AI17*SD))</f>
      </c>
      <c r="AL17" s="260">
        <f aca="true" t="shared" si="22" ref="AL17:AL65">IF(e8b="","",e8b)</f>
      </c>
      <c r="AM17" s="261">
        <f aca="true" t="shared" si="23" ref="AM17:AM65">IF(AL17="","",EXP(AL17))</f>
      </c>
      <c r="AN17" s="261">
        <f aca="true" t="shared" si="24" ref="AN17:AN65">IF(AM17="","",EXP(AL17*SD))</f>
      </c>
      <c r="AO17" s="260">
        <f aca="true" t="shared" si="25" ref="AO17:AO65">IF(e9b="","",e9b)</f>
      </c>
      <c r="AP17" s="261">
        <f aca="true" t="shared" si="26" ref="AP17:AP65">IF(AO17="","",EXP(AO17))</f>
      </c>
      <c r="AQ17" s="261">
        <f aca="true" t="shared" si="27" ref="AQ17:AQ65">IF(AP17="","",EXP(AO17*SD))</f>
      </c>
      <c r="AS17" s="102" t="str">
        <f aca="true" t="shared" si="28" ref="AS17:AS65">IF(RHV="","---",RHV)</f>
        <v>MALE</v>
      </c>
      <c r="AT17" s="123">
        <f aca="true" t="shared" si="29" ref="AT17:AT65">IF(Bval="","---",Bval)</f>
        <v>0.47</v>
      </c>
      <c r="AX17" s="121" t="str">
        <f aca="true" t="shared" si="30" ref="AX17:AX65">IF(Vtype="","",Vtype)</f>
        <v>B</v>
      </c>
    </row>
    <row r="18" spans="2:50" ht="12.75">
      <c r="B18" s="118"/>
      <c r="C18" s="122" t="s">
        <v>57</v>
      </c>
      <c r="D18" s="85">
        <f t="shared" si="0"/>
      </c>
      <c r="E18" s="86">
        <f>IF($AX$16="c",Tech!AM$16,"")</f>
      </c>
      <c r="F18" s="86">
        <f>IF($AX$16="c",Tech!AN$16,"")</f>
      </c>
      <c r="G18" s="86">
        <f>IF(AND(G$14&lt;&gt;"",$AX$16="c"),Tech!AO$16,"")</f>
      </c>
      <c r="H18" s="86">
        <f>IF(AND(H$14&lt;&gt;"",$AX$16="c"),Tech!AP$16,"")</f>
      </c>
      <c r="I18" s="86">
        <f>IF(AND(I$14&lt;&gt;"",$AX$16="c"),Tech!AQ$16,"")</f>
      </c>
      <c r="J18" s="86">
        <f>IF(AND(J$14&lt;&gt;"",$AX$16="c"),Tech!AR$16,"")</f>
      </c>
      <c r="K18" s="86">
        <f>IF(AND(K$14&lt;&gt;"",$AX$16="c"),Tech!AS$16,"")</f>
      </c>
      <c r="L18" s="86">
        <f>IF(AND(L$14&lt;&gt;"",$AX$16="c"),Tech!AT$16,"")</f>
      </c>
      <c r="M18" s="86">
        <f>IF(AND(M$14&lt;&gt;"",$AX$16="c"),Tech!AU$16,"")</f>
      </c>
      <c r="N18" s="86">
        <f>IF(AND(N$14&lt;&gt;"",$AX$16="c"),Tech!AV$16,"")</f>
      </c>
      <c r="P18" s="42" t="str">
        <f aca="true" t="shared" si="31" ref="P18:P65">IF(RHV="","",RHV)</f>
        <v>WHITE</v>
      </c>
      <c r="Q18" s="260">
        <f t="shared" si="1"/>
        <v>-0.5287267</v>
      </c>
      <c r="R18" s="261">
        <f t="shared" si="2"/>
        <v>0.5893549177393559</v>
      </c>
      <c r="S18" s="261">
        <f t="shared" si="3"/>
        <v>0.8398938106741867</v>
      </c>
      <c r="T18" s="260">
        <f t="shared" si="4"/>
        <v>-0.3492339</v>
      </c>
      <c r="U18" s="261">
        <f t="shared" si="5"/>
        <v>0.7052281581110303</v>
      </c>
      <c r="V18" s="261">
        <f t="shared" si="6"/>
        <v>0.8911458370134393</v>
      </c>
      <c r="W18" s="260">
        <f t="shared" si="7"/>
        <v>-0.3775375</v>
      </c>
      <c r="X18" s="261">
        <f t="shared" si="8"/>
        <v>0.6855474930712714</v>
      </c>
      <c r="Y18" s="261">
        <f t="shared" si="9"/>
        <v>0.8828611180060509</v>
      </c>
      <c r="Z18" s="260">
        <f t="shared" si="10"/>
      </c>
      <c r="AA18" s="261">
        <f t="shared" si="11"/>
      </c>
      <c r="AB18" s="261">
        <f t="shared" si="12"/>
      </c>
      <c r="AC18" s="260">
        <f t="shared" si="13"/>
      </c>
      <c r="AD18" s="261">
        <f t="shared" si="14"/>
      </c>
      <c r="AE18" s="261">
        <f t="shared" si="15"/>
      </c>
      <c r="AF18" s="260">
        <f t="shared" si="16"/>
      </c>
      <c r="AG18" s="261">
        <f t="shared" si="17"/>
      </c>
      <c r="AH18" s="261">
        <f t="shared" si="18"/>
      </c>
      <c r="AI18" s="260">
        <f t="shared" si="19"/>
      </c>
      <c r="AJ18" s="261">
        <f t="shared" si="20"/>
      </c>
      <c r="AK18" s="261">
        <f t="shared" si="21"/>
      </c>
      <c r="AL18" s="260">
        <f t="shared" si="22"/>
      </c>
      <c r="AM18" s="261">
        <f t="shared" si="23"/>
      </c>
      <c r="AN18" s="261">
        <f t="shared" si="24"/>
      </c>
      <c r="AO18" s="260">
        <f t="shared" si="25"/>
      </c>
      <c r="AP18" s="261">
        <f t="shared" si="26"/>
      </c>
      <c r="AQ18" s="261">
        <f t="shared" si="27"/>
      </c>
      <c r="AS18" s="102" t="str">
        <f t="shared" si="28"/>
        <v>WHITE</v>
      </c>
      <c r="AT18" s="123">
        <f t="shared" si="29"/>
        <v>0.88</v>
      </c>
      <c r="AX18" s="121" t="str">
        <f t="shared" si="30"/>
        <v>B</v>
      </c>
    </row>
    <row r="19" spans="2:50" ht="12.75">
      <c r="B19" s="118"/>
      <c r="C19" s="122" t="s">
        <v>58</v>
      </c>
      <c r="D19" s="85">
        <f t="shared" si="0"/>
      </c>
      <c r="E19" s="86">
        <f>IF($AX$16="c",Tech!AY$16,"")</f>
      </c>
      <c r="F19" s="86">
        <f>IF($AX$16="c",Tech!AZ$16,"")</f>
      </c>
      <c r="G19" s="86">
        <f>IF(AND(G$14&lt;&gt;"",$AX$16="c"),Tech!BA$16,"")</f>
      </c>
      <c r="H19" s="86">
        <f>IF(AND(H$14&lt;&gt;"",$AX$16="c"),Tech!BB$16,"")</f>
      </c>
      <c r="I19" s="86">
        <f>IF(AND(I$14&lt;&gt;"",$AX$16="c"),Tech!BC$16,"")</f>
      </c>
      <c r="J19" s="86">
        <f>IF(AND(J$14&lt;&gt;"",$AX$16="c"),Tech!BD$16,"")</f>
      </c>
      <c r="K19" s="86">
        <f>IF(AND(K$14&lt;&gt;"",$AX$16="c"),Tech!BE$16,"")</f>
      </c>
      <c r="L19" s="86">
        <f>IF(AND(L$14&lt;&gt;"",$AX$16="c"),Tech!BF$16,"")</f>
      </c>
      <c r="M19" s="86">
        <f>IF(AND(M$14&lt;&gt;"",$AX$16="c"),Tech!BG$16,"")</f>
      </c>
      <c r="N19" s="86">
        <f>IF(AND(N$14&lt;&gt;"",$AX$16="c"),Tech!BH$16,"")</f>
      </c>
      <c r="P19" s="42" t="str">
        <f t="shared" si="31"/>
        <v>AGE</v>
      </c>
      <c r="Q19" s="260">
        <f t="shared" si="1"/>
        <v>-0.0163486</v>
      </c>
      <c r="R19" s="261">
        <f t="shared" si="2"/>
        <v>0.9837843130611065</v>
      </c>
      <c r="S19" s="261">
        <f t="shared" si="3"/>
        <v>0.7600815810316197</v>
      </c>
      <c r="T19" s="260">
        <f t="shared" si="4"/>
        <v>-0.0249764</v>
      </c>
      <c r="U19" s="261">
        <f t="shared" si="5"/>
        <v>0.975332929613863</v>
      </c>
      <c r="V19" s="261">
        <f t="shared" si="6"/>
        <v>0.6576358028493364</v>
      </c>
      <c r="W19" s="260">
        <f t="shared" si="7"/>
        <v>-0.0186902</v>
      </c>
      <c r="X19" s="261">
        <f t="shared" si="8"/>
        <v>0.9814833786989463</v>
      </c>
      <c r="Y19" s="261">
        <f t="shared" si="9"/>
        <v>0.7307955410215342</v>
      </c>
      <c r="Z19" s="260">
        <f t="shared" si="10"/>
      </c>
      <c r="AA19" s="261">
        <f t="shared" si="11"/>
      </c>
      <c r="AB19" s="261">
        <f t="shared" si="12"/>
      </c>
      <c r="AC19" s="260">
        <f t="shared" si="13"/>
      </c>
      <c r="AD19" s="261">
        <f t="shared" si="14"/>
      </c>
      <c r="AE19" s="261">
        <f t="shared" si="15"/>
      </c>
      <c r="AF19" s="260">
        <f t="shared" si="16"/>
      </c>
      <c r="AG19" s="261">
        <f t="shared" si="17"/>
      </c>
      <c r="AH19" s="261">
        <f t="shared" si="18"/>
      </c>
      <c r="AI19" s="260">
        <f t="shared" si="19"/>
      </c>
      <c r="AJ19" s="261">
        <f t="shared" si="20"/>
      </c>
      <c r="AK19" s="261">
        <f t="shared" si="21"/>
      </c>
      <c r="AL19" s="260">
        <f t="shared" si="22"/>
      </c>
      <c r="AM19" s="261">
        <f t="shared" si="23"/>
      </c>
      <c r="AN19" s="261">
        <f t="shared" si="24"/>
      </c>
      <c r="AO19" s="260">
        <f t="shared" si="25"/>
      </c>
      <c r="AP19" s="261">
        <f t="shared" si="26"/>
      </c>
      <c r="AQ19" s="261">
        <f t="shared" si="27"/>
      </c>
      <c r="AS19" s="102" t="str">
        <f t="shared" si="28"/>
        <v>AGE</v>
      </c>
      <c r="AT19" s="123">
        <f t="shared" si="29"/>
        <v>44.94</v>
      </c>
      <c r="AX19" s="121" t="str">
        <f t="shared" si="30"/>
        <v>C</v>
      </c>
    </row>
    <row r="20" spans="2:50" ht="12.75">
      <c r="B20" s="118" t="str">
        <f>AS17</f>
        <v>MALE</v>
      </c>
      <c r="C20" s="119" t="s">
        <v>55</v>
      </c>
      <c r="D20" s="85">
        <f t="shared" si="0"/>
        <v>0.08778195117049484</v>
      </c>
      <c r="E20" s="86">
        <f>IF($AX$17="b",Tech!O$17,"")</f>
        <v>0.029677858611654284</v>
      </c>
      <c r="F20" s="86">
        <f>IF($AX$17="b",Tech!P$17,"")</f>
        <v>0.1458860437293354</v>
      </c>
      <c r="G20" s="86">
        <f>IF(AND(G$14&lt;&gt;"",$AX$17="b"),Tech!Q$17,"")</f>
        <v>-0.03208520144114116</v>
      </c>
      <c r="H20" s="86">
        <f>IF(AND(H$14&lt;&gt;"",$AX$17="b"),Tech!R$17,"")</f>
        <v>-0.14347870089984852</v>
      </c>
      <c r="I20" s="86">
        <f>IF(AND(I$14&lt;&gt;"",$AX$17="b"),Tech!S$17,"")</f>
      </c>
      <c r="J20" s="86">
        <f>IF(AND(J$14&lt;&gt;"",$AX$17="b"),Tech!T$17,"")</f>
      </c>
      <c r="K20" s="86">
        <f>IF(AND(K$14&lt;&gt;"",$AX$17="b"),Tech!U$17,"")</f>
      </c>
      <c r="L20" s="86">
        <f>IF(AND(L$14&lt;&gt;"",$AX$17="b"),Tech!V$17,"")</f>
      </c>
      <c r="M20" s="86">
        <f>IF(AND(M$14&lt;&gt;"",$AX$17="b"),Tech!W$17,"")</f>
      </c>
      <c r="N20" s="86">
        <f>IF(AND(N$14&lt;&gt;"",$AX$17="b"),Tech!X$17,"")</f>
      </c>
      <c r="P20" s="42" t="str">
        <f t="shared" si="31"/>
        <v>ED</v>
      </c>
      <c r="Q20" s="260">
        <f t="shared" si="1"/>
        <v>0.1032469</v>
      </c>
      <c r="R20" s="261">
        <f t="shared" si="2"/>
        <v>1.1087651293942908</v>
      </c>
      <c r="S20" s="261">
        <f t="shared" si="3"/>
        <v>1.3857759063980457</v>
      </c>
      <c r="T20" s="260">
        <f t="shared" si="4"/>
        <v>0.0558691</v>
      </c>
      <c r="U20" s="261">
        <f t="shared" si="5"/>
        <v>1.0574592532602825</v>
      </c>
      <c r="V20" s="261">
        <f t="shared" si="6"/>
        <v>1.1930897323453475</v>
      </c>
      <c r="W20" s="260">
        <f t="shared" si="7"/>
        <v>0.0566852</v>
      </c>
      <c r="X20" s="261">
        <f t="shared" si="8"/>
        <v>1.058322597996771</v>
      </c>
      <c r="Y20" s="261">
        <f t="shared" si="9"/>
        <v>1.1961705336167376</v>
      </c>
      <c r="Z20" s="260">
        <f t="shared" si="10"/>
      </c>
      <c r="AA20" s="261">
        <f t="shared" si="11"/>
      </c>
      <c r="AB20" s="261">
        <f t="shared" si="12"/>
      </c>
      <c r="AC20" s="260">
        <f t="shared" si="13"/>
      </c>
      <c r="AD20" s="261">
        <f t="shared" si="14"/>
      </c>
      <c r="AE20" s="261">
        <f t="shared" si="15"/>
      </c>
      <c r="AF20" s="260">
        <f t="shared" si="16"/>
      </c>
      <c r="AG20" s="261">
        <f t="shared" si="17"/>
      </c>
      <c r="AH20" s="261">
        <f t="shared" si="18"/>
      </c>
      <c r="AI20" s="260">
        <f t="shared" si="19"/>
      </c>
      <c r="AJ20" s="261">
        <f t="shared" si="20"/>
      </c>
      <c r="AK20" s="261">
        <f t="shared" si="21"/>
      </c>
      <c r="AL20" s="260">
        <f t="shared" si="22"/>
      </c>
      <c r="AM20" s="261">
        <f t="shared" si="23"/>
      </c>
      <c r="AN20" s="261">
        <f t="shared" si="24"/>
      </c>
      <c r="AO20" s="260">
        <f t="shared" si="25"/>
      </c>
      <c r="AP20" s="261">
        <f t="shared" si="26"/>
      </c>
      <c r="AQ20" s="261">
        <f t="shared" si="27"/>
      </c>
      <c r="AS20" s="102" t="str">
        <f t="shared" si="28"/>
        <v>ED</v>
      </c>
      <c r="AT20" s="123">
        <f t="shared" si="29"/>
        <v>12.22</v>
      </c>
      <c r="AX20" s="121" t="str">
        <f t="shared" si="30"/>
        <v>C</v>
      </c>
    </row>
    <row r="21" spans="3:50" ht="12.75">
      <c r="C21" s="122" t="s">
        <v>56</v>
      </c>
      <c r="D21" s="85">
        <f t="shared" si="0"/>
      </c>
      <c r="E21" s="86">
        <f>IF($AX$17="c",Tech!AA$17,"")</f>
      </c>
      <c r="F21" s="86">
        <f>IF($AX$17="c",Tech!AB$17,"")</f>
      </c>
      <c r="G21" s="86">
        <f>IF(AND(G$14&lt;&gt;"",$AX$17="c"),Tech!AC$17,"")</f>
      </c>
      <c r="H21" s="86">
        <f>IF(AND(H$14&lt;&gt;"",$AX$17="c"),Tech!AD$17,"")</f>
      </c>
      <c r="I21" s="86">
        <f>IF(AND(I$14&lt;&gt;"",$AX$17="c"),Tech!AE$17,"")</f>
      </c>
      <c r="J21" s="86">
        <f>IF(AND(J$14&lt;&gt;"",$AX$17="c"),Tech!AF$17,"")</f>
      </c>
      <c r="K21" s="86">
        <f>IF(AND(K$14&lt;&gt;"",$AX$17="c"),Tech!AG$17,"")</f>
      </c>
      <c r="L21" s="86">
        <f>IF(AND(L$14&lt;&gt;"",$AX$17="c"),Tech!AH$17,"")</f>
      </c>
      <c r="M21" s="86">
        <f>IF(AND(M$14&lt;&gt;"",$AX$17="c"),Tech!AI$17,"")</f>
      </c>
      <c r="N21" s="86">
        <f>IF(AND(N$14&lt;&gt;"",$AX$17="c"),Tech!AJ$17,"")</f>
      </c>
      <c r="P21" s="42" t="str">
        <f t="shared" si="31"/>
        <v>PRST</v>
      </c>
      <c r="Q21" s="260">
        <f t="shared" si="1"/>
        <v>-0.0016912</v>
      </c>
      <c r="R21" s="261">
        <f t="shared" si="2"/>
        <v>0.9983102292728777</v>
      </c>
      <c r="S21" s="261">
        <f t="shared" si="3"/>
        <v>0.9757923337553851</v>
      </c>
      <c r="T21" s="260">
        <f t="shared" si="4"/>
        <v>0.0098476</v>
      </c>
      <c r="U21" s="261">
        <f t="shared" si="5"/>
        <v>1.0098962471677</v>
      </c>
      <c r="V21" s="261">
        <f t="shared" si="6"/>
        <v>1.1533741892738711</v>
      </c>
      <c r="W21" s="260">
        <f t="shared" si="7"/>
        <v>0.0049225</v>
      </c>
      <c r="X21" s="261">
        <f t="shared" si="8"/>
        <v>1.0049346354071347</v>
      </c>
      <c r="Y21" s="261">
        <f t="shared" si="9"/>
        <v>1.0739323711822657</v>
      </c>
      <c r="Z21" s="260">
        <f t="shared" si="10"/>
      </c>
      <c r="AA21" s="261">
        <f t="shared" si="11"/>
      </c>
      <c r="AB21" s="261">
        <f t="shared" si="12"/>
      </c>
      <c r="AC21" s="260">
        <f t="shared" si="13"/>
      </c>
      <c r="AD21" s="261">
        <f t="shared" si="14"/>
      </c>
      <c r="AE21" s="261">
        <f t="shared" si="15"/>
      </c>
      <c r="AF21" s="260">
        <f t="shared" si="16"/>
      </c>
      <c r="AG21" s="261">
        <f t="shared" si="17"/>
      </c>
      <c r="AH21" s="261">
        <f t="shared" si="18"/>
      </c>
      <c r="AI21" s="260">
        <f t="shared" si="19"/>
      </c>
      <c r="AJ21" s="261">
        <f t="shared" si="20"/>
      </c>
      <c r="AK21" s="261">
        <f t="shared" si="21"/>
      </c>
      <c r="AL21" s="260">
        <f t="shared" si="22"/>
      </c>
      <c r="AM21" s="261">
        <f t="shared" si="23"/>
      </c>
      <c r="AN21" s="261">
        <f t="shared" si="24"/>
      </c>
      <c r="AO21" s="260">
        <f t="shared" si="25"/>
      </c>
      <c r="AP21" s="261">
        <f t="shared" si="26"/>
      </c>
      <c r="AQ21" s="261">
        <f t="shared" si="27"/>
      </c>
      <c r="AS21" s="102" t="str">
        <f t="shared" si="28"/>
        <v>PRST</v>
      </c>
      <c r="AT21" s="123">
        <f t="shared" si="29"/>
        <v>39.59</v>
      </c>
      <c r="AX21" s="121" t="str">
        <f t="shared" si="30"/>
        <v>C</v>
      </c>
    </row>
    <row r="22" spans="2:50" ht="12.75">
      <c r="B22" s="118"/>
      <c r="C22" s="122" t="s">
        <v>57</v>
      </c>
      <c r="D22" s="85">
        <f t="shared" si="0"/>
      </c>
      <c r="E22" s="86">
        <f>IF($AX$17="c",Tech!AM$17,"")</f>
      </c>
      <c r="F22" s="86">
        <f>IF($AX$17="c",Tech!AN$17,"")</f>
      </c>
      <c r="G22" s="86">
        <f>IF(AND(G$14&lt;&gt;"",$AX$17="c"),Tech!AO$17,"")</f>
      </c>
      <c r="H22" s="86">
        <f>IF(AND(H$14&lt;&gt;"",$AX$17="c"),Tech!AP$17,"")</f>
      </c>
      <c r="I22" s="86">
        <f>IF(AND(I$14&lt;&gt;"",$AX$17="c"),Tech!AQ$17,"")</f>
      </c>
      <c r="J22" s="86">
        <f>IF(AND(J$14&lt;&gt;"",$AX$17="c"),Tech!AR$17,"")</f>
      </c>
      <c r="K22" s="86">
        <f>IF(AND(K$14&lt;&gt;"",$AX$17="c"),Tech!AS$17,"")</f>
      </c>
      <c r="L22" s="86">
        <f>IF(AND(L$14&lt;&gt;"",$AX$17="c"),Tech!AT$17,"")</f>
      </c>
      <c r="M22" s="86">
        <f>IF(AND(M$14&lt;&gt;"",$AX$17="c"),Tech!AU$17,"")</f>
      </c>
      <c r="N22" s="86">
        <f>IF(AND(N$14&lt;&gt;"",$AX$17="c"),Tech!AV$17,"")</f>
      </c>
      <c r="P22" s="42">
        <f t="shared" si="31"/>
      </c>
      <c r="Q22" s="260">
        <f t="shared" si="1"/>
      </c>
      <c r="R22" s="261">
        <f t="shared" si="2"/>
      </c>
      <c r="S22" s="261">
        <f t="shared" si="3"/>
      </c>
      <c r="T22" s="260">
        <f t="shared" si="4"/>
      </c>
      <c r="U22" s="261">
        <f t="shared" si="5"/>
      </c>
      <c r="V22" s="261">
        <f t="shared" si="6"/>
      </c>
      <c r="W22" s="260">
        <f t="shared" si="7"/>
      </c>
      <c r="X22" s="261">
        <f t="shared" si="8"/>
      </c>
      <c r="Y22" s="261">
        <f t="shared" si="9"/>
      </c>
      <c r="Z22" s="260">
        <f t="shared" si="10"/>
      </c>
      <c r="AA22" s="261">
        <f t="shared" si="11"/>
      </c>
      <c r="AB22" s="261">
        <f t="shared" si="12"/>
      </c>
      <c r="AC22" s="260">
        <f t="shared" si="13"/>
      </c>
      <c r="AD22" s="261">
        <f t="shared" si="14"/>
      </c>
      <c r="AE22" s="261">
        <f t="shared" si="15"/>
      </c>
      <c r="AF22" s="260">
        <f t="shared" si="16"/>
      </c>
      <c r="AG22" s="261">
        <f t="shared" si="17"/>
      </c>
      <c r="AH22" s="261">
        <f t="shared" si="18"/>
      </c>
      <c r="AI22" s="260">
        <f t="shared" si="19"/>
      </c>
      <c r="AJ22" s="261">
        <f t="shared" si="20"/>
      </c>
      <c r="AK22" s="261">
        <f t="shared" si="21"/>
      </c>
      <c r="AL22" s="260">
        <f t="shared" si="22"/>
      </c>
      <c r="AM22" s="261">
        <f t="shared" si="23"/>
      </c>
      <c r="AN22" s="261">
        <f t="shared" si="24"/>
      </c>
      <c r="AO22" s="260">
        <f t="shared" si="25"/>
      </c>
      <c r="AP22" s="261">
        <f t="shared" si="26"/>
      </c>
      <c r="AQ22" s="261">
        <f t="shared" si="27"/>
      </c>
      <c r="AS22" s="102" t="str">
        <f t="shared" si="28"/>
        <v>---</v>
      </c>
      <c r="AT22" s="123" t="str">
        <f t="shared" si="29"/>
        <v>---</v>
      </c>
      <c r="AX22" s="121">
        <f t="shared" si="30"/>
      </c>
    </row>
    <row r="23" spans="2:50" ht="12.75">
      <c r="B23" s="118"/>
      <c r="C23" s="122" t="s">
        <v>58</v>
      </c>
      <c r="D23" s="85">
        <f t="shared" si="0"/>
      </c>
      <c r="E23" s="86">
        <f>IF($AX$17="c",Tech!AY$17,"")</f>
      </c>
      <c r="F23" s="86">
        <f>IF($AX$17="c",Tech!AZ$17,"")</f>
      </c>
      <c r="G23" s="86">
        <f>IF(AND(G$14&lt;&gt;"",$AX$17="c"),Tech!BA$17,"")</f>
      </c>
      <c r="H23" s="86">
        <f>IF(AND(H$14&lt;&gt;"",$AX$17="c"),Tech!BB$17,"")</f>
      </c>
      <c r="I23" s="86">
        <f>IF(AND(I$14&lt;&gt;"",$AX$17="c"),Tech!BC$17,"")</f>
      </c>
      <c r="J23" s="86">
        <f>IF(AND(J$14&lt;&gt;"",$AX$17="c"),Tech!BD$17,"")</f>
      </c>
      <c r="K23" s="86">
        <f>IF(AND(K$14&lt;&gt;"",$AX$17="c"),Tech!BE$17,"")</f>
      </c>
      <c r="L23" s="86">
        <f>IF(AND(L$14&lt;&gt;"",$AX$17="c"),Tech!BF$17,"")</f>
      </c>
      <c r="M23" s="86">
        <f>IF(AND(M$14&lt;&gt;"",$AX$17="c"),Tech!BG$17,"")</f>
      </c>
      <c r="N23" s="86">
        <f>IF(AND(N$14&lt;&gt;"",$AX$17="c"),Tech!BH$17,"")</f>
      </c>
      <c r="P23" s="42">
        <f t="shared" si="31"/>
      </c>
      <c r="Q23" s="260">
        <f t="shared" si="1"/>
      </c>
      <c r="R23" s="261">
        <f t="shared" si="2"/>
      </c>
      <c r="S23" s="261">
        <f t="shared" si="3"/>
      </c>
      <c r="T23" s="260">
        <f t="shared" si="4"/>
      </c>
      <c r="U23" s="261">
        <f t="shared" si="5"/>
      </c>
      <c r="V23" s="261">
        <f t="shared" si="6"/>
      </c>
      <c r="W23" s="260">
        <f t="shared" si="7"/>
      </c>
      <c r="X23" s="261">
        <f t="shared" si="8"/>
      </c>
      <c r="Y23" s="261">
        <f t="shared" si="9"/>
      </c>
      <c r="Z23" s="260">
        <f t="shared" si="10"/>
      </c>
      <c r="AA23" s="261">
        <f t="shared" si="11"/>
      </c>
      <c r="AB23" s="261">
        <f t="shared" si="12"/>
      </c>
      <c r="AC23" s="260">
        <f t="shared" si="13"/>
      </c>
      <c r="AD23" s="261">
        <f t="shared" si="14"/>
      </c>
      <c r="AE23" s="261">
        <f t="shared" si="15"/>
      </c>
      <c r="AF23" s="260">
        <f t="shared" si="16"/>
      </c>
      <c r="AG23" s="261">
        <f t="shared" si="17"/>
      </c>
      <c r="AH23" s="261">
        <f t="shared" si="18"/>
      </c>
      <c r="AI23" s="260">
        <f t="shared" si="19"/>
      </c>
      <c r="AJ23" s="261">
        <f t="shared" si="20"/>
      </c>
      <c r="AK23" s="261">
        <f t="shared" si="21"/>
      </c>
      <c r="AL23" s="260">
        <f t="shared" si="22"/>
      </c>
      <c r="AM23" s="261">
        <f t="shared" si="23"/>
      </c>
      <c r="AN23" s="261">
        <f t="shared" si="24"/>
      </c>
      <c r="AO23" s="260">
        <f t="shared" si="25"/>
      </c>
      <c r="AP23" s="261">
        <f t="shared" si="26"/>
      </c>
      <c r="AQ23" s="261">
        <f t="shared" si="27"/>
      </c>
      <c r="AS23" s="102" t="str">
        <f t="shared" si="28"/>
        <v>---</v>
      </c>
      <c r="AT23" s="123" t="str">
        <f t="shared" si="29"/>
        <v>---</v>
      </c>
      <c r="AX23" s="121">
        <f t="shared" si="30"/>
      </c>
    </row>
    <row r="24" spans="2:50" ht="12.75">
      <c r="B24" s="118" t="str">
        <f>AS18</f>
        <v>WHITE</v>
      </c>
      <c r="C24" s="119" t="s">
        <v>55</v>
      </c>
      <c r="D24" s="85">
        <f t="shared" si="0"/>
        <v>0.04207875502786285</v>
      </c>
      <c r="E24" s="86">
        <f>IF($AX$18="b",Tech!O$18,"")</f>
        <v>0.04427949795241781</v>
      </c>
      <c r="F24" s="86">
        <f>IF($AX$18="b",Tech!P$18,"")</f>
        <v>0.03987801210330788</v>
      </c>
      <c r="G24" s="86">
        <f>IF(AND(G$14&lt;&gt;"",$AX$18="b"),Tech!Q$18,"")</f>
        <v>-0.02856457738952667</v>
      </c>
      <c r="H24" s="86">
        <f>IF(AND(H$14&lt;&gt;"",$AX$18="b"),Tech!R$18,"")</f>
        <v>-0.05559293266619905</v>
      </c>
      <c r="I24" s="86">
        <f>IF(AND(I$14&lt;&gt;"",$AX$18="b"),Tech!S$18,"")</f>
      </c>
      <c r="J24" s="86">
        <f>IF(AND(J$14&lt;&gt;"",$AX$18="b"),Tech!T$18,"")</f>
      </c>
      <c r="K24" s="86">
        <f>IF(AND(K$14&lt;&gt;"",$AX$18="b"),Tech!U$18,"")</f>
      </c>
      <c r="L24" s="86">
        <f>IF(AND(L$14&lt;&gt;"",$AX$18="b"),Tech!V$18,"")</f>
      </c>
      <c r="M24" s="86">
        <f>IF(AND(M$14&lt;&gt;"",$AX$18="b"),Tech!W$18,"")</f>
      </c>
      <c r="N24" s="86">
        <f>IF(AND(N$14&lt;&gt;"",$AX$18="b"),Tech!X$18,"")</f>
      </c>
      <c r="P24" s="42">
        <f t="shared" si="31"/>
      </c>
      <c r="Q24" s="260">
        <f t="shared" si="1"/>
      </c>
      <c r="R24" s="261">
        <f t="shared" si="2"/>
      </c>
      <c r="S24" s="261">
        <f t="shared" si="3"/>
      </c>
      <c r="T24" s="260">
        <f t="shared" si="4"/>
      </c>
      <c r="U24" s="261">
        <f t="shared" si="5"/>
      </c>
      <c r="V24" s="261">
        <f t="shared" si="6"/>
      </c>
      <c r="W24" s="260">
        <f t="shared" si="7"/>
      </c>
      <c r="X24" s="261">
        <f t="shared" si="8"/>
      </c>
      <c r="Y24" s="261">
        <f t="shared" si="9"/>
      </c>
      <c r="Z24" s="260">
        <f t="shared" si="10"/>
      </c>
      <c r="AA24" s="261">
        <f t="shared" si="11"/>
      </c>
      <c r="AB24" s="261">
        <f t="shared" si="12"/>
      </c>
      <c r="AC24" s="260">
        <f t="shared" si="13"/>
      </c>
      <c r="AD24" s="261">
        <f t="shared" si="14"/>
      </c>
      <c r="AE24" s="261">
        <f t="shared" si="15"/>
      </c>
      <c r="AF24" s="260">
        <f t="shared" si="16"/>
      </c>
      <c r="AG24" s="261">
        <f t="shared" si="17"/>
      </c>
      <c r="AH24" s="261">
        <f t="shared" si="18"/>
      </c>
      <c r="AI24" s="260">
        <f t="shared" si="19"/>
      </c>
      <c r="AJ24" s="261">
        <f t="shared" si="20"/>
      </c>
      <c r="AK24" s="261">
        <f t="shared" si="21"/>
      </c>
      <c r="AL24" s="260">
        <f t="shared" si="22"/>
      </c>
      <c r="AM24" s="261">
        <f t="shared" si="23"/>
      </c>
      <c r="AN24" s="261">
        <f t="shared" si="24"/>
      </c>
      <c r="AO24" s="260">
        <f t="shared" si="25"/>
      </c>
      <c r="AP24" s="261">
        <f t="shared" si="26"/>
      </c>
      <c r="AQ24" s="261">
        <f t="shared" si="27"/>
      </c>
      <c r="AS24" s="102" t="str">
        <f t="shared" si="28"/>
        <v>---</v>
      </c>
      <c r="AT24" s="123" t="str">
        <f t="shared" si="29"/>
        <v>---</v>
      </c>
      <c r="AX24" s="121">
        <f t="shared" si="30"/>
      </c>
    </row>
    <row r="25" spans="3:50" ht="12.75">
      <c r="C25" s="122" t="s">
        <v>56</v>
      </c>
      <c r="D25" s="85">
        <f aca="true" t="shared" si="32" ref="D25:D88">IF(E25="","",(+myabsk(E25,F25,G25,H25,I25,J25,K25,L25,M25,N25,O25))/COUNT(E25:N25))</f>
      </c>
      <c r="E25" s="86">
        <f>IF($AX$18="c",Tech!AA$18,"")</f>
      </c>
      <c r="F25" s="86">
        <f>IF($AX$18="c",Tech!AB$18,"")</f>
      </c>
      <c r="G25" s="86">
        <f>IF(AND(G$14&lt;&gt;"",$AX$18="c"),Tech!AC$18,"")</f>
      </c>
      <c r="H25" s="86">
        <f>IF(AND(H$14&lt;&gt;"",$AX$18="c"),Tech!AD$18,"")</f>
      </c>
      <c r="I25" s="86">
        <f>IF(AND(I$14&lt;&gt;"",$AX$18="c"),Tech!AE$18,"")</f>
      </c>
      <c r="J25" s="86">
        <f>IF(AND(J$14&lt;&gt;"",$AX$18="c"),Tech!AF$18,"")</f>
      </c>
      <c r="K25" s="86">
        <f>IF(AND(K$14&lt;&gt;"",$AX$18="c"),Tech!AG$18,"")</f>
      </c>
      <c r="L25" s="86">
        <f>IF(AND(L$14&lt;&gt;"",$AX$18="c"),Tech!AH$18,"")</f>
      </c>
      <c r="M25" s="86">
        <f>IF(AND(M$14&lt;&gt;"",$AX$18="c"),Tech!AI$18,"")</f>
      </c>
      <c r="N25" s="86">
        <f>IF(AND(N$14&lt;&gt;"",$AX$18="c"),Tech!AJ$18,"")</f>
      </c>
      <c r="P25" s="42">
        <f t="shared" si="31"/>
      </c>
      <c r="Q25" s="260">
        <f t="shared" si="1"/>
      </c>
      <c r="R25" s="261">
        <f t="shared" si="2"/>
      </c>
      <c r="S25" s="261">
        <f t="shared" si="3"/>
      </c>
      <c r="T25" s="260">
        <f t="shared" si="4"/>
      </c>
      <c r="U25" s="261">
        <f t="shared" si="5"/>
      </c>
      <c r="V25" s="261">
        <f t="shared" si="6"/>
      </c>
      <c r="W25" s="260">
        <f t="shared" si="7"/>
      </c>
      <c r="X25" s="261">
        <f t="shared" si="8"/>
      </c>
      <c r="Y25" s="261">
        <f t="shared" si="9"/>
      </c>
      <c r="Z25" s="260">
        <f t="shared" si="10"/>
      </c>
      <c r="AA25" s="261">
        <f t="shared" si="11"/>
      </c>
      <c r="AB25" s="261">
        <f t="shared" si="12"/>
      </c>
      <c r="AC25" s="260">
        <f t="shared" si="13"/>
      </c>
      <c r="AD25" s="261">
        <f t="shared" si="14"/>
      </c>
      <c r="AE25" s="261">
        <f t="shared" si="15"/>
      </c>
      <c r="AF25" s="260">
        <f t="shared" si="16"/>
      </c>
      <c r="AG25" s="261">
        <f t="shared" si="17"/>
      </c>
      <c r="AH25" s="261">
        <f t="shared" si="18"/>
      </c>
      <c r="AI25" s="260">
        <f t="shared" si="19"/>
      </c>
      <c r="AJ25" s="261">
        <f t="shared" si="20"/>
      </c>
      <c r="AK25" s="261">
        <f t="shared" si="21"/>
      </c>
      <c r="AL25" s="260">
        <f t="shared" si="22"/>
      </c>
      <c r="AM25" s="261">
        <f t="shared" si="23"/>
      </c>
      <c r="AN25" s="261">
        <f t="shared" si="24"/>
      </c>
      <c r="AO25" s="260">
        <f t="shared" si="25"/>
      </c>
      <c r="AP25" s="261">
        <f t="shared" si="26"/>
      </c>
      <c r="AQ25" s="261">
        <f t="shared" si="27"/>
      </c>
      <c r="AS25" s="102" t="str">
        <f t="shared" si="28"/>
        <v>---</v>
      </c>
      <c r="AT25" s="123" t="str">
        <f t="shared" si="29"/>
        <v>---</v>
      </c>
      <c r="AX25" s="121">
        <f t="shared" si="30"/>
      </c>
    </row>
    <row r="26" spans="3:50" ht="12.75">
      <c r="C26" s="122" t="s">
        <v>57</v>
      </c>
      <c r="D26" s="85">
        <f t="shared" si="32"/>
      </c>
      <c r="E26" s="86">
        <f>IF($AX$18="c",Tech!AM$18,"")</f>
      </c>
      <c r="F26" s="86">
        <f>IF($AX$18="c",Tech!AN$18,"")</f>
      </c>
      <c r="G26" s="86">
        <f>IF(AND(G$14&lt;&gt;"",$AX$18="c"),Tech!AO$18,"")</f>
      </c>
      <c r="H26" s="86">
        <f>IF(AND(H$14&lt;&gt;"",$AX$18="c"),Tech!AP$18,"")</f>
      </c>
      <c r="I26" s="86">
        <f>IF(AND(I$14&lt;&gt;"",$AX$18="c"),Tech!AQ$18,"")</f>
      </c>
      <c r="J26" s="86">
        <f>IF(AND(J$14&lt;&gt;"",$AX$18="c"),Tech!AR$18,"")</f>
      </c>
      <c r="K26" s="86">
        <f>IF(AND(K$14&lt;&gt;"",$AX$18="c"),Tech!AS$18,"")</f>
      </c>
      <c r="L26" s="86">
        <f>IF(AND(L$14&lt;&gt;"",$AX$18="c"),Tech!AT$18,"")</f>
      </c>
      <c r="M26" s="86">
        <f>IF(AND(M$14&lt;&gt;"",$AX$18="c"),Tech!AU$18,"")</f>
      </c>
      <c r="N26" s="86">
        <f>IF(AND(N$14&lt;&gt;"",$AX$18="c"),Tech!AV$18,"")</f>
      </c>
      <c r="P26" s="42">
        <f t="shared" si="31"/>
      </c>
      <c r="Q26" s="260">
        <f t="shared" si="1"/>
      </c>
      <c r="R26" s="261">
        <f t="shared" si="2"/>
      </c>
      <c r="S26" s="261">
        <f t="shared" si="3"/>
      </c>
      <c r="T26" s="260">
        <f t="shared" si="4"/>
      </c>
      <c r="U26" s="261">
        <f t="shared" si="5"/>
      </c>
      <c r="V26" s="261">
        <f t="shared" si="6"/>
      </c>
      <c r="W26" s="260">
        <f t="shared" si="7"/>
      </c>
      <c r="X26" s="261">
        <f t="shared" si="8"/>
      </c>
      <c r="Y26" s="261">
        <f t="shared" si="9"/>
      </c>
      <c r="Z26" s="260">
        <f t="shared" si="10"/>
      </c>
      <c r="AA26" s="261">
        <f t="shared" si="11"/>
      </c>
      <c r="AB26" s="261">
        <f t="shared" si="12"/>
      </c>
      <c r="AC26" s="260">
        <f t="shared" si="13"/>
      </c>
      <c r="AD26" s="261">
        <f t="shared" si="14"/>
      </c>
      <c r="AE26" s="261">
        <f t="shared" si="15"/>
      </c>
      <c r="AF26" s="260">
        <f t="shared" si="16"/>
      </c>
      <c r="AG26" s="261">
        <f t="shared" si="17"/>
      </c>
      <c r="AH26" s="261">
        <f t="shared" si="18"/>
      </c>
      <c r="AI26" s="260">
        <f t="shared" si="19"/>
      </c>
      <c r="AJ26" s="261">
        <f t="shared" si="20"/>
      </c>
      <c r="AK26" s="261">
        <f t="shared" si="21"/>
      </c>
      <c r="AL26" s="260">
        <f t="shared" si="22"/>
      </c>
      <c r="AM26" s="261">
        <f t="shared" si="23"/>
      </c>
      <c r="AN26" s="261">
        <f t="shared" si="24"/>
      </c>
      <c r="AO26" s="260">
        <f t="shared" si="25"/>
      </c>
      <c r="AP26" s="261">
        <f t="shared" si="26"/>
      </c>
      <c r="AQ26" s="261">
        <f t="shared" si="27"/>
      </c>
      <c r="AS26" s="102" t="str">
        <f t="shared" si="28"/>
        <v>---</v>
      </c>
      <c r="AT26" s="123" t="str">
        <f t="shared" si="29"/>
        <v>---</v>
      </c>
      <c r="AX26" s="121">
        <f t="shared" si="30"/>
      </c>
    </row>
    <row r="27" spans="2:50" ht="12.75">
      <c r="B27" s="118"/>
      <c r="C27" s="122" t="s">
        <v>58</v>
      </c>
      <c r="D27" s="85">
        <f t="shared" si="32"/>
      </c>
      <c r="E27" s="86">
        <f>IF($AX$18="c",Tech!AY$18,"")</f>
      </c>
      <c r="F27" s="86">
        <f>IF($AX$18="c",Tech!AZ$18,"")</f>
      </c>
      <c r="G27" s="86">
        <f>IF(AND(G$14&lt;&gt;"",$AX$18="c"),Tech!BA$18,"")</f>
      </c>
      <c r="H27" s="86">
        <f>IF(AND(H$14&lt;&gt;"",$AX$18="c"),Tech!BB$18,"")</f>
      </c>
      <c r="I27" s="86">
        <f>IF(AND(I$14&lt;&gt;"",$AX$18="c"),Tech!BC$18,"")</f>
      </c>
      <c r="J27" s="86">
        <f>IF(AND(J$14&lt;&gt;"",$AX$18="c"),Tech!BD$18,"")</f>
      </c>
      <c r="K27" s="86">
        <f>IF(AND(K$14&lt;&gt;"",$AX$18="c"),Tech!BE$18,"")</f>
      </c>
      <c r="L27" s="86">
        <f>IF(AND(L$14&lt;&gt;"",$AX$18="c"),Tech!BF$18,"")</f>
      </c>
      <c r="M27" s="86">
        <f>IF(AND(M$14&lt;&gt;"",$AX$18="c"),Tech!BG$18,"")</f>
      </c>
      <c r="N27" s="86">
        <f>IF(AND(N$14&lt;&gt;"",$AX$18="c"),Tech!BH$18,"")</f>
      </c>
      <c r="P27" s="42">
        <f t="shared" si="31"/>
      </c>
      <c r="Q27" s="260">
        <f t="shared" si="1"/>
      </c>
      <c r="R27" s="261">
        <f t="shared" si="2"/>
      </c>
      <c r="S27" s="261">
        <f t="shared" si="3"/>
      </c>
      <c r="T27" s="260">
        <f t="shared" si="4"/>
      </c>
      <c r="U27" s="261">
        <f t="shared" si="5"/>
      </c>
      <c r="V27" s="261">
        <f t="shared" si="6"/>
      </c>
      <c r="W27" s="260">
        <f t="shared" si="7"/>
      </c>
      <c r="X27" s="261">
        <f t="shared" si="8"/>
      </c>
      <c r="Y27" s="261">
        <f t="shared" si="9"/>
      </c>
      <c r="Z27" s="260">
        <f t="shared" si="10"/>
      </c>
      <c r="AA27" s="261">
        <f t="shared" si="11"/>
      </c>
      <c r="AB27" s="261">
        <f t="shared" si="12"/>
      </c>
      <c r="AC27" s="260">
        <f t="shared" si="13"/>
      </c>
      <c r="AD27" s="261">
        <f t="shared" si="14"/>
      </c>
      <c r="AE27" s="261">
        <f t="shared" si="15"/>
      </c>
      <c r="AF27" s="260">
        <f t="shared" si="16"/>
      </c>
      <c r="AG27" s="261">
        <f t="shared" si="17"/>
      </c>
      <c r="AH27" s="261">
        <f t="shared" si="18"/>
      </c>
      <c r="AI27" s="260">
        <f t="shared" si="19"/>
      </c>
      <c r="AJ27" s="261">
        <f t="shared" si="20"/>
      </c>
      <c r="AK27" s="261">
        <f t="shared" si="21"/>
      </c>
      <c r="AL27" s="260">
        <f t="shared" si="22"/>
      </c>
      <c r="AM27" s="261">
        <f t="shared" si="23"/>
      </c>
      <c r="AN27" s="261">
        <f t="shared" si="24"/>
      </c>
      <c r="AO27" s="260">
        <f t="shared" si="25"/>
      </c>
      <c r="AP27" s="261">
        <f t="shared" si="26"/>
      </c>
      <c r="AQ27" s="261">
        <f t="shared" si="27"/>
      </c>
      <c r="AS27" s="102" t="str">
        <f t="shared" si="28"/>
        <v>---</v>
      </c>
      <c r="AT27" s="123" t="str">
        <f t="shared" si="29"/>
        <v>---</v>
      </c>
      <c r="AX27" s="121">
        <f t="shared" si="30"/>
      </c>
    </row>
    <row r="28" spans="2:50" ht="12.75">
      <c r="B28" s="118" t="str">
        <f>AS19</f>
        <v>AGE</v>
      </c>
      <c r="C28" s="119" t="s">
        <v>55</v>
      </c>
      <c r="D28" s="124">
        <f t="shared" si="32"/>
      </c>
      <c r="E28" s="86">
        <f>IF($AX$19="b",Tech!O$19,"")</f>
      </c>
      <c r="F28" s="86">
        <f>IF($AX$19="b",Tech!P$19,"")</f>
      </c>
      <c r="G28" s="86">
        <f>IF(AND(G$14&lt;&gt;"",$AX$19="b"),Tech!Q$19,"")</f>
      </c>
      <c r="H28" s="86">
        <f>IF(AND(H$14&lt;&gt;"",$AX$19="b"),Tech!R$19,"")</f>
      </c>
      <c r="I28" s="86">
        <f>IF(AND(I$14&lt;&gt;"",$AX$19="b"),Tech!S$19,"")</f>
      </c>
      <c r="J28" s="86">
        <f>IF(AND(J$14&lt;&gt;"",$AX$19="b"),Tech!T$19,"")</f>
      </c>
      <c r="K28" s="86">
        <f>IF(AND(K$14&lt;&gt;"",$AX$19="b"),Tech!U$19,"")</f>
      </c>
      <c r="L28" s="86">
        <f>IF(AND(L$14&lt;&gt;"",$AX$19="b"),Tech!V$19,"")</f>
      </c>
      <c r="M28" s="86">
        <f>IF(AND(M$14&lt;&gt;"",$AX$19="b"),Tech!W$19,"")</f>
      </c>
      <c r="N28" s="86">
        <f>IF(AND(N$14&lt;&gt;"",$AX$19="b"),Tech!X$19,"")</f>
      </c>
      <c r="P28" s="42">
        <f t="shared" si="31"/>
      </c>
      <c r="Q28" s="260">
        <f t="shared" si="1"/>
      </c>
      <c r="R28" s="261">
        <f t="shared" si="2"/>
      </c>
      <c r="S28" s="261">
        <f t="shared" si="3"/>
      </c>
      <c r="T28" s="260">
        <f t="shared" si="4"/>
      </c>
      <c r="U28" s="261">
        <f t="shared" si="5"/>
      </c>
      <c r="V28" s="261">
        <f t="shared" si="6"/>
      </c>
      <c r="W28" s="260">
        <f t="shared" si="7"/>
      </c>
      <c r="X28" s="261">
        <f t="shared" si="8"/>
      </c>
      <c r="Y28" s="261">
        <f t="shared" si="9"/>
      </c>
      <c r="Z28" s="260">
        <f t="shared" si="10"/>
      </c>
      <c r="AA28" s="261">
        <f t="shared" si="11"/>
      </c>
      <c r="AB28" s="261">
        <f t="shared" si="12"/>
      </c>
      <c r="AC28" s="260">
        <f t="shared" si="13"/>
      </c>
      <c r="AD28" s="261">
        <f t="shared" si="14"/>
      </c>
      <c r="AE28" s="261">
        <f t="shared" si="15"/>
      </c>
      <c r="AF28" s="260">
        <f t="shared" si="16"/>
      </c>
      <c r="AG28" s="261">
        <f t="shared" si="17"/>
      </c>
      <c r="AH28" s="261">
        <f t="shared" si="18"/>
      </c>
      <c r="AI28" s="260">
        <f t="shared" si="19"/>
      </c>
      <c r="AJ28" s="261">
        <f t="shared" si="20"/>
      </c>
      <c r="AK28" s="261">
        <f t="shared" si="21"/>
      </c>
      <c r="AL28" s="260">
        <f t="shared" si="22"/>
      </c>
      <c r="AM28" s="261">
        <f t="shared" si="23"/>
      </c>
      <c r="AN28" s="261">
        <f t="shared" si="24"/>
      </c>
      <c r="AO28" s="260">
        <f t="shared" si="25"/>
      </c>
      <c r="AP28" s="261">
        <f t="shared" si="26"/>
      </c>
      <c r="AQ28" s="261">
        <f t="shared" si="27"/>
      </c>
      <c r="AS28" s="102" t="str">
        <f t="shared" si="28"/>
        <v>---</v>
      </c>
      <c r="AT28" s="123" t="str">
        <f t="shared" si="29"/>
        <v>---</v>
      </c>
      <c r="AX28" s="121">
        <f t="shared" si="30"/>
      </c>
    </row>
    <row r="29" spans="2:50" ht="12.75">
      <c r="B29" s="118"/>
      <c r="C29" s="122" t="s">
        <v>56</v>
      </c>
      <c r="D29" s="124">
        <f t="shared" si="32"/>
        <v>0.20817197002879095</v>
      </c>
      <c r="E29" s="86">
        <f>IF($AX$19="c",Tech!AA$19,"")</f>
        <v>0.1286834079190723</v>
      </c>
      <c r="F29" s="86">
        <f>IF($AX$19="c",Tech!AB$19,"")</f>
        <v>0.2876605321385096</v>
      </c>
      <c r="G29" s="86">
        <f>IF(AND(G$14&lt;&gt;"",$AX$19="c"),Tech!AC$19,"")</f>
        <v>-0.2545683562774227</v>
      </c>
      <c r="H29" s="86">
        <f>IF(AND(H$14&lt;&gt;"",$AX$19="c"),Tech!AD$19,"")</f>
        <v>-0.16177558378015924</v>
      </c>
      <c r="I29" s="86">
        <f>IF(AND(I$14&lt;&gt;"",$AX$19="c"),Tech!AE$19,"")</f>
      </c>
      <c r="J29" s="86">
        <f>IF(AND(J$14&lt;&gt;"",$AX$19="c"),Tech!AF$19,"")</f>
      </c>
      <c r="K29" s="86">
        <f>IF(AND(K$14&lt;&gt;"",$AX$19="c"),Tech!AG$19,"")</f>
      </c>
      <c r="L29" s="86">
        <f>IF(AND(L$14&lt;&gt;"",$AX$19="c"),Tech!AH$19,"")</f>
      </c>
      <c r="M29" s="86">
        <f>IF(AND(M$14&lt;&gt;"",$AX$19="c"),Tech!AI$19,"")</f>
      </c>
      <c r="N29" s="86">
        <f>IF(AND(N$14&lt;&gt;"",$AX$19="c"),Tech!AJ$19,"")</f>
      </c>
      <c r="P29" s="42">
        <f t="shared" si="31"/>
      </c>
      <c r="Q29" s="260">
        <f t="shared" si="1"/>
      </c>
      <c r="R29" s="261">
        <f t="shared" si="2"/>
      </c>
      <c r="S29" s="261">
        <f t="shared" si="3"/>
      </c>
      <c r="T29" s="260">
        <f t="shared" si="4"/>
      </c>
      <c r="U29" s="261">
        <f t="shared" si="5"/>
      </c>
      <c r="V29" s="261">
        <f t="shared" si="6"/>
      </c>
      <c r="W29" s="260">
        <f t="shared" si="7"/>
      </c>
      <c r="X29" s="261">
        <f t="shared" si="8"/>
      </c>
      <c r="Y29" s="261">
        <f t="shared" si="9"/>
      </c>
      <c r="Z29" s="260">
        <f t="shared" si="10"/>
      </c>
      <c r="AA29" s="261">
        <f t="shared" si="11"/>
      </c>
      <c r="AB29" s="261">
        <f t="shared" si="12"/>
      </c>
      <c r="AC29" s="260">
        <f t="shared" si="13"/>
      </c>
      <c r="AD29" s="261">
        <f t="shared" si="14"/>
      </c>
      <c r="AE29" s="261">
        <f t="shared" si="15"/>
      </c>
      <c r="AF29" s="260">
        <f t="shared" si="16"/>
      </c>
      <c r="AG29" s="261">
        <f t="shared" si="17"/>
      </c>
      <c r="AH29" s="261">
        <f t="shared" si="18"/>
      </c>
      <c r="AI29" s="260">
        <f t="shared" si="19"/>
      </c>
      <c r="AJ29" s="261">
        <f t="shared" si="20"/>
      </c>
      <c r="AK29" s="261">
        <f t="shared" si="21"/>
      </c>
      <c r="AL29" s="260">
        <f t="shared" si="22"/>
      </c>
      <c r="AM29" s="261">
        <f t="shared" si="23"/>
      </c>
      <c r="AN29" s="261">
        <f t="shared" si="24"/>
      </c>
      <c r="AO29" s="260">
        <f t="shared" si="25"/>
      </c>
      <c r="AP29" s="261">
        <f t="shared" si="26"/>
      </c>
      <c r="AQ29" s="261">
        <f t="shared" si="27"/>
      </c>
      <c r="AS29" s="102" t="str">
        <f t="shared" si="28"/>
        <v>---</v>
      </c>
      <c r="AT29" s="123" t="str">
        <f t="shared" si="29"/>
        <v>---</v>
      </c>
      <c r="AX29" s="121">
        <f t="shared" si="30"/>
      </c>
    </row>
    <row r="30" spans="2:50" ht="12.75">
      <c r="B30" s="118"/>
      <c r="C30" s="122" t="s">
        <v>57</v>
      </c>
      <c r="D30" s="124">
        <f t="shared" si="32"/>
        <v>0.003077583593156852</v>
      </c>
      <c r="E30" s="86">
        <f>IF($AX$19="c",Tech!AM$19,"")</f>
        <v>0.0015983034668937135</v>
      </c>
      <c r="F30" s="86">
        <f>IF($AX$19="c",Tech!AN$19,"")</f>
        <v>0.00455686371941999</v>
      </c>
      <c r="G30" s="86">
        <f>IF(AND(G$14&lt;&gt;"",$AX$19="c"),Tech!AO$19,"")</f>
        <v>-0.003654026593880616</v>
      </c>
      <c r="H30" s="86">
        <f>IF(AND(H$14&lt;&gt;"",$AX$19="c"),Tech!AP$19,"")</f>
        <v>-0.0025011405924330876</v>
      </c>
      <c r="I30" s="86">
        <f>IF(AND(I$14&lt;&gt;"",$AX$19="c"),Tech!AQ$19,"")</f>
      </c>
      <c r="J30" s="86">
        <f>IF(AND(J$14&lt;&gt;"",$AX$19="c"),Tech!AR$19,"")</f>
      </c>
      <c r="K30" s="86">
        <f>IF(AND(K$14&lt;&gt;"",$AX$19="c"),Tech!AS$19,"")</f>
      </c>
      <c r="L30" s="86">
        <f>IF(AND(L$14&lt;&gt;"",$AX$19="c"),Tech!AT$19,"")</f>
      </c>
      <c r="M30" s="86">
        <f>IF(AND(M$14&lt;&gt;"",$AX$19="c"),Tech!AU$19,"")</f>
      </c>
      <c r="N30" s="86">
        <f>IF(AND(N$14&lt;&gt;"",$AX$19="c"),Tech!AV$19,"")</f>
      </c>
      <c r="P30" s="42">
        <f t="shared" si="31"/>
      </c>
      <c r="Q30" s="260">
        <f t="shared" si="1"/>
      </c>
      <c r="R30" s="261">
        <f t="shared" si="2"/>
      </c>
      <c r="S30" s="261">
        <f t="shared" si="3"/>
      </c>
      <c r="T30" s="260">
        <f t="shared" si="4"/>
      </c>
      <c r="U30" s="261">
        <f t="shared" si="5"/>
      </c>
      <c r="V30" s="261">
        <f t="shared" si="6"/>
      </c>
      <c r="W30" s="260">
        <f t="shared" si="7"/>
      </c>
      <c r="X30" s="261">
        <f t="shared" si="8"/>
      </c>
      <c r="Y30" s="261">
        <f t="shared" si="9"/>
      </c>
      <c r="Z30" s="260">
        <f t="shared" si="10"/>
      </c>
      <c r="AA30" s="261">
        <f t="shared" si="11"/>
      </c>
      <c r="AB30" s="261">
        <f t="shared" si="12"/>
      </c>
      <c r="AC30" s="260">
        <f t="shared" si="13"/>
      </c>
      <c r="AD30" s="261">
        <f t="shared" si="14"/>
      </c>
      <c r="AE30" s="261">
        <f t="shared" si="15"/>
      </c>
      <c r="AF30" s="260">
        <f t="shared" si="16"/>
      </c>
      <c r="AG30" s="261">
        <f t="shared" si="17"/>
      </c>
      <c r="AH30" s="261">
        <f t="shared" si="18"/>
      </c>
      <c r="AI30" s="260">
        <f t="shared" si="19"/>
      </c>
      <c r="AJ30" s="261">
        <f t="shared" si="20"/>
      </c>
      <c r="AK30" s="261">
        <f t="shared" si="21"/>
      </c>
      <c r="AL30" s="260">
        <f t="shared" si="22"/>
      </c>
      <c r="AM30" s="261">
        <f t="shared" si="23"/>
      </c>
      <c r="AN30" s="261">
        <f t="shared" si="24"/>
      </c>
      <c r="AO30" s="260">
        <f t="shared" si="25"/>
      </c>
      <c r="AP30" s="261">
        <f t="shared" si="26"/>
      </c>
      <c r="AQ30" s="261">
        <f t="shared" si="27"/>
      </c>
      <c r="AS30" s="102" t="str">
        <f t="shared" si="28"/>
        <v>---</v>
      </c>
      <c r="AT30" s="123" t="str">
        <f t="shared" si="29"/>
        <v>---</v>
      </c>
      <c r="AX30" s="121">
        <f t="shared" si="30"/>
      </c>
    </row>
    <row r="31" spans="3:50" ht="12.75">
      <c r="C31" s="122" t="s">
        <v>58</v>
      </c>
      <c r="D31" s="124">
        <f t="shared" si="32"/>
        <v>0.051462325148041825</v>
      </c>
      <c r="E31" s="86">
        <f>IF($AX$19="c",Tech!AY$19,"")</f>
        <v>0.026854114024142617</v>
      </c>
      <c r="F31" s="86">
        <f>IF($AX$19="c",Tech!AZ$19,"")</f>
        <v>0.07607053627194105</v>
      </c>
      <c r="G31" s="86">
        <f>IF(AND(G$14&lt;&gt;"",$AX$19="c"),Tech!BA$19,"")</f>
        <v>-0.060921917103269774</v>
      </c>
      <c r="H31" s="86">
        <f>IF(AND(H$14&lt;&gt;"",$AX$19="c"),Tech!BB$19,"")</f>
        <v>-0.04200273319281386</v>
      </c>
      <c r="I31" s="86">
        <f>IF(AND(I$14&lt;&gt;"",$AX$19="c"),Tech!BC$19,"")</f>
      </c>
      <c r="J31" s="86">
        <f>IF(AND(J$14&lt;&gt;"",$AX$19="c"),Tech!BD$19,"")</f>
      </c>
      <c r="K31" s="86">
        <f>IF(AND(K$14&lt;&gt;"",$AX$19="c"),Tech!BE$19,"")</f>
      </c>
      <c r="L31" s="86">
        <f>IF(AND(L$14&lt;&gt;"",$AX$19="c"),Tech!BF$19,"")</f>
      </c>
      <c r="M31" s="86">
        <f>IF(AND(M$14&lt;&gt;"",$AX$19="c"),Tech!BG$19,"")</f>
      </c>
      <c r="N31" s="86">
        <f>IF(AND(N$14&lt;&gt;"",$AX$19="c"),Tech!BH$19,"")</f>
      </c>
      <c r="P31" s="42">
        <f t="shared" si="31"/>
      </c>
      <c r="Q31" s="260">
        <f t="shared" si="1"/>
      </c>
      <c r="R31" s="261">
        <f t="shared" si="2"/>
      </c>
      <c r="S31" s="261">
        <f t="shared" si="3"/>
      </c>
      <c r="T31" s="260">
        <f t="shared" si="4"/>
      </c>
      <c r="U31" s="261">
        <f t="shared" si="5"/>
      </c>
      <c r="V31" s="261">
        <f t="shared" si="6"/>
      </c>
      <c r="W31" s="260">
        <f t="shared" si="7"/>
      </c>
      <c r="X31" s="261">
        <f t="shared" si="8"/>
      </c>
      <c r="Y31" s="261">
        <f t="shared" si="9"/>
      </c>
      <c r="Z31" s="260">
        <f t="shared" si="10"/>
      </c>
      <c r="AA31" s="261">
        <f t="shared" si="11"/>
      </c>
      <c r="AB31" s="261">
        <f t="shared" si="12"/>
      </c>
      <c r="AC31" s="260">
        <f t="shared" si="13"/>
      </c>
      <c r="AD31" s="261">
        <f t="shared" si="14"/>
      </c>
      <c r="AE31" s="261">
        <f t="shared" si="15"/>
      </c>
      <c r="AF31" s="260">
        <f t="shared" si="16"/>
      </c>
      <c r="AG31" s="261">
        <f t="shared" si="17"/>
      </c>
      <c r="AH31" s="261">
        <f t="shared" si="18"/>
      </c>
      <c r="AI31" s="260">
        <f t="shared" si="19"/>
      </c>
      <c r="AJ31" s="261">
        <f t="shared" si="20"/>
      </c>
      <c r="AK31" s="261">
        <f t="shared" si="21"/>
      </c>
      <c r="AL31" s="260">
        <f t="shared" si="22"/>
      </c>
      <c r="AM31" s="261">
        <f t="shared" si="23"/>
      </c>
      <c r="AN31" s="261">
        <f t="shared" si="24"/>
      </c>
      <c r="AO31" s="260">
        <f t="shared" si="25"/>
      </c>
      <c r="AP31" s="261">
        <f t="shared" si="26"/>
      </c>
      <c r="AQ31" s="261">
        <f t="shared" si="27"/>
      </c>
      <c r="AS31" s="102" t="str">
        <f t="shared" si="28"/>
        <v>---</v>
      </c>
      <c r="AT31" s="123" t="str">
        <f t="shared" si="29"/>
        <v>---</v>
      </c>
      <c r="AX31" s="121">
        <f t="shared" si="30"/>
      </c>
    </row>
    <row r="32" spans="2:50" ht="12.75">
      <c r="B32" s="118" t="str">
        <f>AS20</f>
        <v>ED</v>
      </c>
      <c r="C32" s="119" t="s">
        <v>55</v>
      </c>
      <c r="D32" s="124">
        <f t="shared" si="32"/>
      </c>
      <c r="E32" s="86">
        <f>IF($AX$20="b",Tech!O$20,"")</f>
      </c>
      <c r="F32" s="86">
        <f>IF($AX$20="b",Tech!P$20,"")</f>
      </c>
      <c r="G32" s="86">
        <f>IF(AND(G$14&lt;&gt;"",$AX$20="b"),Tech!Q$20,"")</f>
      </c>
      <c r="H32" s="86">
        <f>IF(AND(H$14&lt;&gt;"",$AX$20="b"),Tech!R$20,"")</f>
      </c>
      <c r="I32" s="86">
        <f>IF(AND(I$14&lt;&gt;"",$AX$20="b"),Tech!S$20,"")</f>
      </c>
      <c r="J32" s="86">
        <f>IF(AND(J$14&lt;&gt;"",$AX$20="b"),Tech!T$20,"")</f>
      </c>
      <c r="K32" s="86">
        <f>IF(AND(K$14&lt;&gt;"",$AX$20="b"),Tech!U$20,"")</f>
      </c>
      <c r="L32" s="86">
        <f>IF(AND(L$14&lt;&gt;"",$AX$20="b"),Tech!V$20,"")</f>
      </c>
      <c r="M32" s="86">
        <f>IF(AND(M$14&lt;&gt;"",$AX$20="b"),Tech!W$20,"")</f>
      </c>
      <c r="N32" s="86">
        <f>IF(AND(N$14&lt;&gt;"",$AX$20="b"),Tech!X$20,"")</f>
      </c>
      <c r="P32" s="42">
        <f t="shared" si="31"/>
      </c>
      <c r="Q32" s="260">
        <f t="shared" si="1"/>
      </c>
      <c r="R32" s="261">
        <f t="shared" si="2"/>
      </c>
      <c r="S32" s="261">
        <f t="shared" si="3"/>
      </c>
      <c r="T32" s="260">
        <f t="shared" si="4"/>
      </c>
      <c r="U32" s="261">
        <f t="shared" si="5"/>
      </c>
      <c r="V32" s="261">
        <f t="shared" si="6"/>
      </c>
      <c r="W32" s="260">
        <f t="shared" si="7"/>
      </c>
      <c r="X32" s="261">
        <f t="shared" si="8"/>
      </c>
      <c r="Y32" s="261">
        <f t="shared" si="9"/>
      </c>
      <c r="Z32" s="260">
        <f t="shared" si="10"/>
      </c>
      <c r="AA32" s="261">
        <f t="shared" si="11"/>
      </c>
      <c r="AB32" s="261">
        <f t="shared" si="12"/>
      </c>
      <c r="AC32" s="260">
        <f t="shared" si="13"/>
      </c>
      <c r="AD32" s="261">
        <f t="shared" si="14"/>
      </c>
      <c r="AE32" s="261">
        <f t="shared" si="15"/>
      </c>
      <c r="AF32" s="260">
        <f t="shared" si="16"/>
      </c>
      <c r="AG32" s="261">
        <f t="shared" si="17"/>
      </c>
      <c r="AH32" s="261">
        <f t="shared" si="18"/>
      </c>
      <c r="AI32" s="260">
        <f t="shared" si="19"/>
      </c>
      <c r="AJ32" s="261">
        <f t="shared" si="20"/>
      </c>
      <c r="AK32" s="261">
        <f t="shared" si="21"/>
      </c>
      <c r="AL32" s="260">
        <f t="shared" si="22"/>
      </c>
      <c r="AM32" s="261">
        <f t="shared" si="23"/>
      </c>
      <c r="AN32" s="261">
        <f t="shared" si="24"/>
      </c>
      <c r="AO32" s="260">
        <f t="shared" si="25"/>
      </c>
      <c r="AP32" s="261">
        <f t="shared" si="26"/>
      </c>
      <c r="AQ32" s="261">
        <f t="shared" si="27"/>
      </c>
      <c r="AS32" s="102" t="str">
        <f t="shared" si="28"/>
        <v>---</v>
      </c>
      <c r="AT32" s="123" t="str">
        <f t="shared" si="29"/>
        <v>---</v>
      </c>
      <c r="AX32" s="121">
        <f t="shared" si="30"/>
      </c>
    </row>
    <row r="33" spans="2:50" ht="12.75">
      <c r="B33" s="118"/>
      <c r="C33" s="122" t="s">
        <v>56</v>
      </c>
      <c r="D33" s="124">
        <f t="shared" si="32"/>
        <v>0.1357286247564456</v>
      </c>
      <c r="E33" s="86">
        <f>IF($AX$20="c",Tech!AA$20,"")</f>
        <v>-0.25110278727098956</v>
      </c>
      <c r="F33" s="86">
        <f>IF($AX$20="c",Tech!AB$20,"")</f>
        <v>-0.020354462241901572</v>
      </c>
      <c r="G33" s="86">
        <f>IF(AND(G$14&lt;&gt;"",$AX$20="c"),Tech!AC$20,"")</f>
        <v>0.13063708771700333</v>
      </c>
      <c r="H33" s="86">
        <f>IF(AND(H$14&lt;&gt;"",$AX$20="c"),Tech!AD$20,"")</f>
        <v>0.14082016179588785</v>
      </c>
      <c r="I33" s="86">
        <f>IF(AND(I$14&lt;&gt;"",$AX$20="c"),Tech!AE$20,"")</f>
      </c>
      <c r="J33" s="86">
        <f>IF(AND(J$14&lt;&gt;"",$AX$20="c"),Tech!AF$20,"")</f>
      </c>
      <c r="K33" s="86">
        <f>IF(AND(K$14&lt;&gt;"",$AX$20="c"),Tech!AG$20,"")</f>
      </c>
      <c r="L33" s="86">
        <f>IF(AND(L$14&lt;&gt;"",$AX$20="c"),Tech!AH$20,"")</f>
      </c>
      <c r="M33" s="86">
        <f>IF(AND(M$14&lt;&gt;"",$AX$20="c"),Tech!AI$20,"")</f>
      </c>
      <c r="N33" s="86">
        <f>IF(AND(N$14&lt;&gt;"",$AX$20="c"),Tech!AJ$20,"")</f>
      </c>
      <c r="P33" s="42">
        <f t="shared" si="31"/>
      </c>
      <c r="Q33" s="260">
        <f t="shared" si="1"/>
      </c>
      <c r="R33" s="261">
        <f t="shared" si="2"/>
      </c>
      <c r="S33" s="261">
        <f t="shared" si="3"/>
      </c>
      <c r="T33" s="260">
        <f t="shared" si="4"/>
      </c>
      <c r="U33" s="261">
        <f t="shared" si="5"/>
      </c>
      <c r="V33" s="261">
        <f t="shared" si="6"/>
      </c>
      <c r="W33" s="260">
        <f t="shared" si="7"/>
      </c>
      <c r="X33" s="261">
        <f t="shared" si="8"/>
      </c>
      <c r="Y33" s="261">
        <f t="shared" si="9"/>
      </c>
      <c r="Z33" s="260">
        <f t="shared" si="10"/>
      </c>
      <c r="AA33" s="261">
        <f t="shared" si="11"/>
      </c>
      <c r="AB33" s="261">
        <f t="shared" si="12"/>
      </c>
      <c r="AC33" s="260">
        <f t="shared" si="13"/>
      </c>
      <c r="AD33" s="261">
        <f t="shared" si="14"/>
      </c>
      <c r="AE33" s="261">
        <f t="shared" si="15"/>
      </c>
      <c r="AF33" s="260">
        <f t="shared" si="16"/>
      </c>
      <c r="AG33" s="261">
        <f t="shared" si="17"/>
      </c>
      <c r="AH33" s="261">
        <f t="shared" si="18"/>
      </c>
      <c r="AI33" s="260">
        <f t="shared" si="19"/>
      </c>
      <c r="AJ33" s="261">
        <f t="shared" si="20"/>
      </c>
      <c r="AK33" s="261">
        <f t="shared" si="21"/>
      </c>
      <c r="AL33" s="260">
        <f t="shared" si="22"/>
      </c>
      <c r="AM33" s="261">
        <f t="shared" si="23"/>
      </c>
      <c r="AN33" s="261">
        <f t="shared" si="24"/>
      </c>
      <c r="AO33" s="260">
        <f t="shared" si="25"/>
      </c>
      <c r="AP33" s="261">
        <f t="shared" si="26"/>
      </c>
      <c r="AQ33" s="261">
        <f t="shared" si="27"/>
      </c>
      <c r="AS33" s="102" t="str">
        <f t="shared" si="28"/>
        <v>---</v>
      </c>
      <c r="AT33" s="123" t="str">
        <f t="shared" si="29"/>
        <v>---</v>
      </c>
      <c r="AX33" s="121">
        <f t="shared" si="30"/>
      </c>
    </row>
    <row r="34" spans="2:50" ht="12.75">
      <c r="B34" s="118"/>
      <c r="C34" s="122" t="s">
        <v>57</v>
      </c>
      <c r="D34" s="124">
        <f t="shared" si="32"/>
        <v>0.00688382879949611</v>
      </c>
      <c r="E34" s="86">
        <f>IF($AX$20="c",Tech!AM$20,"")</f>
        <v>-0.010095629749898527</v>
      </c>
      <c r="F34" s="86">
        <f>IF($AX$20="c",Tech!AN$20,"")</f>
        <v>-0.0036720278490937064</v>
      </c>
      <c r="G34" s="86">
        <f>IF(AND(G$14&lt;&gt;"",$AX$20="c"),Tech!AO$20,"")</f>
        <v>0.006181811101007517</v>
      </c>
      <c r="H34" s="86">
        <f>IF(AND(H$14&lt;&gt;"",$AX$20="c"),Tech!AP$20,"")</f>
        <v>0.0075858464979846885</v>
      </c>
      <c r="I34" s="86">
        <f>IF(AND(I$14&lt;&gt;"",$AX$20="c"),Tech!AQ$20,"")</f>
      </c>
      <c r="J34" s="86">
        <f>IF(AND(J$14&lt;&gt;"",$AX$20="c"),Tech!AR$20,"")</f>
      </c>
      <c r="K34" s="86">
        <f>IF(AND(K$14&lt;&gt;"",$AX$20="c"),Tech!AS$20,"")</f>
      </c>
      <c r="L34" s="86">
        <f>IF(AND(L$14&lt;&gt;"",$AX$20="c"),Tech!AT$20,"")</f>
      </c>
      <c r="M34" s="86">
        <f>IF(AND(M$14&lt;&gt;"",$AX$20="c"),Tech!AU$20,"")</f>
      </c>
      <c r="N34" s="86">
        <f>IF(AND(N$14&lt;&gt;"",$AX$20="c"),Tech!AV$20,"")</f>
      </c>
      <c r="P34" s="42">
        <f t="shared" si="31"/>
      </c>
      <c r="Q34" s="260">
        <f t="shared" si="1"/>
      </c>
      <c r="R34" s="261">
        <f t="shared" si="2"/>
      </c>
      <c r="S34" s="261">
        <f t="shared" si="3"/>
      </c>
      <c r="T34" s="260">
        <f t="shared" si="4"/>
      </c>
      <c r="U34" s="261">
        <f t="shared" si="5"/>
      </c>
      <c r="V34" s="261">
        <f t="shared" si="6"/>
      </c>
      <c r="W34" s="260">
        <f t="shared" si="7"/>
      </c>
      <c r="X34" s="261">
        <f t="shared" si="8"/>
      </c>
      <c r="Y34" s="261">
        <f t="shared" si="9"/>
      </c>
      <c r="Z34" s="260">
        <f t="shared" si="10"/>
      </c>
      <c r="AA34" s="261">
        <f t="shared" si="11"/>
      </c>
      <c r="AB34" s="261">
        <f t="shared" si="12"/>
      </c>
      <c r="AC34" s="260">
        <f t="shared" si="13"/>
      </c>
      <c r="AD34" s="261">
        <f t="shared" si="14"/>
      </c>
      <c r="AE34" s="261">
        <f t="shared" si="15"/>
      </c>
      <c r="AF34" s="260">
        <f t="shared" si="16"/>
      </c>
      <c r="AG34" s="261">
        <f t="shared" si="17"/>
      </c>
      <c r="AH34" s="261">
        <f t="shared" si="18"/>
      </c>
      <c r="AI34" s="260">
        <f t="shared" si="19"/>
      </c>
      <c r="AJ34" s="261">
        <f t="shared" si="20"/>
      </c>
      <c r="AK34" s="261">
        <f t="shared" si="21"/>
      </c>
      <c r="AL34" s="260">
        <f t="shared" si="22"/>
      </c>
      <c r="AM34" s="261">
        <f t="shared" si="23"/>
      </c>
      <c r="AN34" s="261">
        <f t="shared" si="24"/>
      </c>
      <c r="AO34" s="260">
        <f t="shared" si="25"/>
      </c>
      <c r="AP34" s="261">
        <f t="shared" si="26"/>
      </c>
      <c r="AQ34" s="261">
        <f t="shared" si="27"/>
      </c>
      <c r="AS34" s="102" t="str">
        <f t="shared" si="28"/>
        <v>---</v>
      </c>
      <c r="AT34" s="123" t="str">
        <f t="shared" si="29"/>
        <v>---</v>
      </c>
      <c r="AX34" s="121">
        <f t="shared" si="30"/>
      </c>
    </row>
    <row r="35" spans="2:50" ht="12.75">
      <c r="B35" s="118"/>
      <c r="C35" s="122" t="s">
        <v>58</v>
      </c>
      <c r="D35" s="124">
        <f t="shared" si="32"/>
        <v>0.021740740016195303</v>
      </c>
      <c r="E35" s="86">
        <f>IF($AX$20="c",Tech!AY$20,"")</f>
        <v>-0.03195467207344316</v>
      </c>
      <c r="F35" s="86">
        <f>IF($AX$20="c",Tech!AZ$20,"")</f>
        <v>-0.01152680795894745</v>
      </c>
      <c r="G35" s="86">
        <f>IF(AND(G$14&lt;&gt;"",$AX$20="c"),Tech!BA$20,"")</f>
        <v>0.019504532949950387</v>
      </c>
      <c r="H35" s="86">
        <f>IF(AND(H$14&lt;&gt;"",$AX$20="c"),Tech!BB$20,"")</f>
        <v>0.02397694708244022</v>
      </c>
      <c r="I35" s="86">
        <f>IF(AND(I$14&lt;&gt;"",$AX$20="c"),Tech!BC$20,"")</f>
      </c>
      <c r="J35" s="86">
        <f>IF(AND(J$14&lt;&gt;"",$AX$20="c"),Tech!BD$20,"")</f>
      </c>
      <c r="K35" s="86">
        <f>IF(AND(K$14&lt;&gt;"",$AX$20="c"),Tech!BE$20,"")</f>
      </c>
      <c r="L35" s="86">
        <f>IF(AND(L$14&lt;&gt;"",$AX$20="c"),Tech!BF$20,"")</f>
      </c>
      <c r="M35" s="86">
        <f>IF(AND(M$14&lt;&gt;"",$AX$20="c"),Tech!BG$20,"")</f>
      </c>
      <c r="N35" s="86">
        <f>IF(AND(N$14&lt;&gt;"",$AX$20="c"),Tech!BH$20,"")</f>
      </c>
      <c r="P35" s="42">
        <f t="shared" si="31"/>
      </c>
      <c r="Q35" s="260">
        <f t="shared" si="1"/>
      </c>
      <c r="R35" s="261">
        <f t="shared" si="2"/>
      </c>
      <c r="S35" s="261">
        <f t="shared" si="3"/>
      </c>
      <c r="T35" s="260">
        <f t="shared" si="4"/>
      </c>
      <c r="U35" s="261">
        <f t="shared" si="5"/>
      </c>
      <c r="V35" s="261">
        <f t="shared" si="6"/>
      </c>
      <c r="W35" s="260">
        <f t="shared" si="7"/>
      </c>
      <c r="X35" s="261">
        <f t="shared" si="8"/>
      </c>
      <c r="Y35" s="261">
        <f t="shared" si="9"/>
      </c>
      <c r="Z35" s="260">
        <f t="shared" si="10"/>
      </c>
      <c r="AA35" s="261">
        <f t="shared" si="11"/>
      </c>
      <c r="AB35" s="261">
        <f t="shared" si="12"/>
      </c>
      <c r="AC35" s="260">
        <f t="shared" si="13"/>
      </c>
      <c r="AD35" s="261">
        <f t="shared" si="14"/>
      </c>
      <c r="AE35" s="261">
        <f t="shared" si="15"/>
      </c>
      <c r="AF35" s="260">
        <f t="shared" si="16"/>
      </c>
      <c r="AG35" s="261">
        <f t="shared" si="17"/>
      </c>
      <c r="AH35" s="261">
        <f t="shared" si="18"/>
      </c>
      <c r="AI35" s="260">
        <f t="shared" si="19"/>
      </c>
      <c r="AJ35" s="261">
        <f t="shared" si="20"/>
      </c>
      <c r="AK35" s="261">
        <f t="shared" si="21"/>
      </c>
      <c r="AL35" s="260">
        <f t="shared" si="22"/>
      </c>
      <c r="AM35" s="261">
        <f t="shared" si="23"/>
      </c>
      <c r="AN35" s="261">
        <f t="shared" si="24"/>
      </c>
      <c r="AO35" s="260">
        <f t="shared" si="25"/>
      </c>
      <c r="AP35" s="261">
        <f t="shared" si="26"/>
      </c>
      <c r="AQ35" s="261">
        <f t="shared" si="27"/>
      </c>
      <c r="AS35" s="102" t="str">
        <f t="shared" si="28"/>
        <v>---</v>
      </c>
      <c r="AT35" s="123" t="str">
        <f t="shared" si="29"/>
        <v>---</v>
      </c>
      <c r="AX35" s="121">
        <f t="shared" si="30"/>
      </c>
    </row>
    <row r="36" spans="2:50" ht="12.75">
      <c r="B36" s="118" t="str">
        <f>AS21</f>
        <v>PRST</v>
      </c>
      <c r="C36" s="119" t="s">
        <v>55</v>
      </c>
      <c r="D36" s="124">
        <f t="shared" si="32"/>
      </c>
      <c r="E36" s="86">
        <f>IF($AX$21="b",Tech!O$21,"")</f>
      </c>
      <c r="F36" s="86">
        <f>IF($AX$21="b",Tech!P$21,"")</f>
      </c>
      <c r="G36" s="86">
        <f>IF(AND(G$14&lt;&gt;"",$AX$21="b"),Tech!Q$21,"")</f>
      </c>
      <c r="H36" s="86">
        <f>IF(AND(H$14&lt;&gt;"",$AX$21="b"),Tech!R$21,"")</f>
      </c>
      <c r="I36" s="86">
        <f>IF(AND(I$14&lt;&gt;"",$AX$21="b"),Tech!S$21,"")</f>
      </c>
      <c r="J36" s="86">
        <f>IF(AND(J$14&lt;&gt;"",$AX$21="b"),Tech!T$21,"")</f>
      </c>
      <c r="K36" s="86">
        <f>IF(AND(K$14&lt;&gt;"",$AX$21="b"),Tech!U$21,"")</f>
      </c>
      <c r="L36" s="86">
        <f>IF(AND(L$14&lt;&gt;"",$AX$21="b"),Tech!V$21,"")</f>
      </c>
      <c r="M36" s="86">
        <f>IF(AND(M$14&lt;&gt;"",$AX$21="b"),Tech!W$21,"")</f>
      </c>
      <c r="N36" s="86">
        <f>IF(AND(N$14&lt;&gt;"",$AX$21="b"),Tech!X$21,"")</f>
      </c>
      <c r="P36" s="42">
        <f t="shared" si="31"/>
      </c>
      <c r="Q36" s="260">
        <f t="shared" si="1"/>
      </c>
      <c r="R36" s="261">
        <f t="shared" si="2"/>
      </c>
      <c r="S36" s="261">
        <f t="shared" si="3"/>
      </c>
      <c r="T36" s="260">
        <f t="shared" si="4"/>
      </c>
      <c r="U36" s="261">
        <f t="shared" si="5"/>
      </c>
      <c r="V36" s="261">
        <f t="shared" si="6"/>
      </c>
      <c r="W36" s="260">
        <f t="shared" si="7"/>
      </c>
      <c r="X36" s="261">
        <f t="shared" si="8"/>
      </c>
      <c r="Y36" s="261">
        <f t="shared" si="9"/>
      </c>
      <c r="Z36" s="260">
        <f t="shared" si="10"/>
      </c>
      <c r="AA36" s="261">
        <f t="shared" si="11"/>
      </c>
      <c r="AB36" s="261">
        <f t="shared" si="12"/>
      </c>
      <c r="AC36" s="260">
        <f t="shared" si="13"/>
      </c>
      <c r="AD36" s="261">
        <f t="shared" si="14"/>
      </c>
      <c r="AE36" s="261">
        <f t="shared" si="15"/>
      </c>
      <c r="AF36" s="260">
        <f t="shared" si="16"/>
      </c>
      <c r="AG36" s="261">
        <f t="shared" si="17"/>
      </c>
      <c r="AH36" s="261">
        <f t="shared" si="18"/>
      </c>
      <c r="AI36" s="260">
        <f t="shared" si="19"/>
      </c>
      <c r="AJ36" s="261">
        <f t="shared" si="20"/>
      </c>
      <c r="AK36" s="261">
        <f t="shared" si="21"/>
      </c>
      <c r="AL36" s="260">
        <f t="shared" si="22"/>
      </c>
      <c r="AM36" s="261">
        <f t="shared" si="23"/>
      </c>
      <c r="AN36" s="261">
        <f t="shared" si="24"/>
      </c>
      <c r="AO36" s="260">
        <f t="shared" si="25"/>
      </c>
      <c r="AP36" s="261">
        <f t="shared" si="26"/>
      </c>
      <c r="AQ36" s="261">
        <f t="shared" si="27"/>
      </c>
      <c r="AS36" s="102" t="str">
        <f t="shared" si="28"/>
        <v>---</v>
      </c>
      <c r="AT36" s="123" t="str">
        <f t="shared" si="29"/>
        <v>---</v>
      </c>
      <c r="AX36" s="121">
        <f t="shared" si="30"/>
      </c>
    </row>
    <row r="37" spans="2:50" ht="12.75">
      <c r="B37" s="118"/>
      <c r="C37" s="122" t="s">
        <v>56</v>
      </c>
      <c r="D37" s="124">
        <f t="shared" si="32"/>
        <v>0.08917468264126799</v>
      </c>
      <c r="E37" s="86">
        <f>IF($AX$21="c",Tech!AA$21,"")</f>
        <v>0.011689969498234087</v>
      </c>
      <c r="F37" s="86">
        <f>IF($AX$21="c",Tech!AB$21,"")</f>
        <v>-0.17834936528253598</v>
      </c>
      <c r="G37" s="86">
        <f>IF(AND(G$14&lt;&gt;"",$AX$21="c"),Tech!AC$21,"")</f>
        <v>0.11935460711193768</v>
      </c>
      <c r="H37" s="86">
        <f>IF(AND(H$14&lt;&gt;"",$AX$21="c"),Tech!AD$21,"")</f>
        <v>0.047304788672364206</v>
      </c>
      <c r="I37" s="86">
        <f>IF(AND(I$14&lt;&gt;"",$AX$21="c"),Tech!AE$21,"")</f>
      </c>
      <c r="J37" s="86">
        <f>IF(AND(J$14&lt;&gt;"",$AX$21="c"),Tech!AF$21,"")</f>
      </c>
      <c r="K37" s="86">
        <f>IF(AND(K$14&lt;&gt;"",$AX$21="c"),Tech!AG$21,"")</f>
      </c>
      <c r="L37" s="86">
        <f>IF(AND(L$14&lt;&gt;"",$AX$21="c"),Tech!AH$21,"")</f>
      </c>
      <c r="M37" s="86">
        <f>IF(AND(M$14&lt;&gt;"",$AX$21="c"),Tech!AI$21,"")</f>
      </c>
      <c r="N37" s="86">
        <f>IF(AND(N$14&lt;&gt;"",$AX$21="c"),Tech!AJ$21,"")</f>
      </c>
      <c r="P37" s="42">
        <f t="shared" si="31"/>
      </c>
      <c r="Q37" s="260">
        <f t="shared" si="1"/>
      </c>
      <c r="R37" s="261">
        <f t="shared" si="2"/>
      </c>
      <c r="S37" s="261">
        <f t="shared" si="3"/>
      </c>
      <c r="T37" s="260">
        <f t="shared" si="4"/>
      </c>
      <c r="U37" s="261">
        <f t="shared" si="5"/>
      </c>
      <c r="V37" s="261">
        <f t="shared" si="6"/>
      </c>
      <c r="W37" s="260">
        <f t="shared" si="7"/>
      </c>
      <c r="X37" s="261">
        <f t="shared" si="8"/>
      </c>
      <c r="Y37" s="261">
        <f t="shared" si="9"/>
      </c>
      <c r="Z37" s="260">
        <f t="shared" si="10"/>
      </c>
      <c r="AA37" s="261">
        <f t="shared" si="11"/>
      </c>
      <c r="AB37" s="261">
        <f t="shared" si="12"/>
      </c>
      <c r="AC37" s="260">
        <f t="shared" si="13"/>
      </c>
      <c r="AD37" s="261">
        <f t="shared" si="14"/>
      </c>
      <c r="AE37" s="261">
        <f t="shared" si="15"/>
      </c>
      <c r="AF37" s="260">
        <f t="shared" si="16"/>
      </c>
      <c r="AG37" s="261">
        <f t="shared" si="17"/>
      </c>
      <c r="AH37" s="261">
        <f t="shared" si="18"/>
      </c>
      <c r="AI37" s="260">
        <f t="shared" si="19"/>
      </c>
      <c r="AJ37" s="261">
        <f t="shared" si="20"/>
      </c>
      <c r="AK37" s="261">
        <f t="shared" si="21"/>
      </c>
      <c r="AL37" s="260">
        <f t="shared" si="22"/>
      </c>
      <c r="AM37" s="261">
        <f t="shared" si="23"/>
      </c>
      <c r="AN37" s="261">
        <f t="shared" si="24"/>
      </c>
      <c r="AO37" s="260">
        <f t="shared" si="25"/>
      </c>
      <c r="AP37" s="261">
        <f t="shared" si="26"/>
      </c>
      <c r="AQ37" s="261">
        <f t="shared" si="27"/>
      </c>
      <c r="AS37" s="102" t="str">
        <f t="shared" si="28"/>
        <v>---</v>
      </c>
      <c r="AT37" s="123" t="str">
        <f t="shared" si="29"/>
        <v>---</v>
      </c>
      <c r="AX37" s="121">
        <f t="shared" si="30"/>
      </c>
    </row>
    <row r="38" spans="2:50" ht="12.75">
      <c r="B38" s="118"/>
      <c r="C38" s="122" t="s">
        <v>57</v>
      </c>
      <c r="D38" s="124">
        <f t="shared" si="32"/>
        <v>0.0012960995108554085</v>
      </c>
      <c r="E38" s="86">
        <f>IF($AX$21="c",Tech!AM$21,"")</f>
        <v>0.00016533761371184674</v>
      </c>
      <c r="F38" s="86">
        <f>IF($AX$21="c",Tech!AN$21,"")</f>
        <v>-0.002592199021710817</v>
      </c>
      <c r="G38" s="86">
        <f>IF(AND(G$14&lt;&gt;"",$AX$21="c"),Tech!AO$21,"")</f>
        <v>0.00176812946824223</v>
      </c>
      <c r="H38" s="86">
        <f>IF(AND(H$14&lt;&gt;"",$AX$21="c"),Tech!AP$21,"")</f>
        <v>0.0006587319397567404</v>
      </c>
      <c r="I38" s="86">
        <f>IF(AND(I$14&lt;&gt;"",$AX$21="c"),Tech!AQ$21,"")</f>
      </c>
      <c r="J38" s="86">
        <f>IF(AND(J$14&lt;&gt;"",$AX$21="c"),Tech!AR$21,"")</f>
      </c>
      <c r="K38" s="86">
        <f>IF(AND(K$14&lt;&gt;"",$AX$21="c"),Tech!AS$21,"")</f>
      </c>
      <c r="L38" s="86">
        <f>IF(AND(L$14&lt;&gt;"",$AX$21="c"),Tech!AT$21,"")</f>
      </c>
      <c r="M38" s="86">
        <f>IF(AND(M$14&lt;&gt;"",$AX$21="c"),Tech!AU$21,"")</f>
      </c>
      <c r="N38" s="86">
        <f>IF(AND(N$14&lt;&gt;"",$AX$21="c"),Tech!AV$21,"")</f>
      </c>
      <c r="P38" s="42">
        <f t="shared" si="31"/>
      </c>
      <c r="Q38" s="260">
        <f t="shared" si="1"/>
      </c>
      <c r="R38" s="261">
        <f t="shared" si="2"/>
      </c>
      <c r="S38" s="261">
        <f t="shared" si="3"/>
      </c>
      <c r="T38" s="260">
        <f t="shared" si="4"/>
      </c>
      <c r="U38" s="261">
        <f t="shared" si="5"/>
      </c>
      <c r="V38" s="261">
        <f t="shared" si="6"/>
      </c>
      <c r="W38" s="260">
        <f t="shared" si="7"/>
      </c>
      <c r="X38" s="261">
        <f t="shared" si="8"/>
      </c>
      <c r="Y38" s="261">
        <f t="shared" si="9"/>
      </c>
      <c r="Z38" s="260">
        <f t="shared" si="10"/>
      </c>
      <c r="AA38" s="261">
        <f t="shared" si="11"/>
      </c>
      <c r="AB38" s="261">
        <f t="shared" si="12"/>
      </c>
      <c r="AC38" s="260">
        <f t="shared" si="13"/>
      </c>
      <c r="AD38" s="261">
        <f t="shared" si="14"/>
      </c>
      <c r="AE38" s="261">
        <f t="shared" si="15"/>
      </c>
      <c r="AF38" s="260">
        <f t="shared" si="16"/>
      </c>
      <c r="AG38" s="261">
        <f t="shared" si="17"/>
      </c>
      <c r="AH38" s="261">
        <f t="shared" si="18"/>
      </c>
      <c r="AI38" s="260">
        <f t="shared" si="19"/>
      </c>
      <c r="AJ38" s="261">
        <f t="shared" si="20"/>
      </c>
      <c r="AK38" s="261">
        <f t="shared" si="21"/>
      </c>
      <c r="AL38" s="260">
        <f t="shared" si="22"/>
      </c>
      <c r="AM38" s="261">
        <f t="shared" si="23"/>
      </c>
      <c r="AN38" s="261">
        <f t="shared" si="24"/>
      </c>
      <c r="AO38" s="260">
        <f t="shared" si="25"/>
      </c>
      <c r="AP38" s="261">
        <f t="shared" si="26"/>
      </c>
      <c r="AQ38" s="261">
        <f t="shared" si="27"/>
      </c>
      <c r="AS38" s="102" t="str">
        <f t="shared" si="28"/>
        <v>---</v>
      </c>
      <c r="AT38" s="123" t="str">
        <f t="shared" si="29"/>
        <v>---</v>
      </c>
      <c r="AX38" s="121">
        <f t="shared" si="30"/>
      </c>
    </row>
    <row r="39" spans="2:50" ht="12.75">
      <c r="B39" s="118"/>
      <c r="C39" s="122" t="s">
        <v>58</v>
      </c>
      <c r="D39" s="124">
        <f t="shared" si="32"/>
        <v>0.01877339173888909</v>
      </c>
      <c r="E39" s="86">
        <f>IF($AX$21="c",Tech!AY$21,"")</f>
        <v>0.0023957666868481553</v>
      </c>
      <c r="F39" s="86">
        <f>IF($AX$21="c",Tech!AZ$21,"")</f>
        <v>-0.03754678347777818</v>
      </c>
      <c r="G39" s="86">
        <f>IF(AND(G$14&lt;&gt;"",$AX$21="c"),Tech!BA$21,"")</f>
        <v>0.02560559423693015</v>
      </c>
      <c r="H39" s="86">
        <f>IF(AND(H$14&lt;&gt;"",$AX$21="c"),Tech!BB$21,"")</f>
        <v>0.009545422553999872</v>
      </c>
      <c r="I39" s="86">
        <f>IF(AND(I$14&lt;&gt;"",$AX$21="c"),Tech!BC$21,"")</f>
      </c>
      <c r="J39" s="86">
        <f>IF(AND(J$14&lt;&gt;"",$AX$21="c"),Tech!BD$21,"")</f>
      </c>
      <c r="K39" s="86">
        <f>IF(AND(K$14&lt;&gt;"",$AX$21="c"),Tech!BE$21,"")</f>
      </c>
      <c r="L39" s="86">
        <f>IF(AND(L$14&lt;&gt;"",$AX$21="c"),Tech!BF$21,"")</f>
      </c>
      <c r="M39" s="86">
        <f>IF(AND(M$14&lt;&gt;"",$AX$21="c"),Tech!BG$21,"")</f>
      </c>
      <c r="N39" s="86">
        <f>IF(AND(N$14&lt;&gt;"",$AX$21="c"),Tech!BH$21,"")</f>
      </c>
      <c r="P39" s="42">
        <f t="shared" si="31"/>
      </c>
      <c r="Q39" s="260">
        <f t="shared" si="1"/>
      </c>
      <c r="R39" s="261">
        <f t="shared" si="2"/>
      </c>
      <c r="S39" s="261">
        <f t="shared" si="3"/>
      </c>
      <c r="T39" s="260">
        <f t="shared" si="4"/>
      </c>
      <c r="U39" s="261">
        <f t="shared" si="5"/>
      </c>
      <c r="V39" s="261">
        <f t="shared" si="6"/>
      </c>
      <c r="W39" s="260">
        <f t="shared" si="7"/>
      </c>
      <c r="X39" s="261">
        <f t="shared" si="8"/>
      </c>
      <c r="Y39" s="261">
        <f t="shared" si="9"/>
      </c>
      <c r="Z39" s="260">
        <f t="shared" si="10"/>
      </c>
      <c r="AA39" s="261">
        <f t="shared" si="11"/>
      </c>
      <c r="AB39" s="261">
        <f t="shared" si="12"/>
      </c>
      <c r="AC39" s="260">
        <f t="shared" si="13"/>
      </c>
      <c r="AD39" s="261">
        <f t="shared" si="14"/>
      </c>
      <c r="AE39" s="261">
        <f t="shared" si="15"/>
      </c>
      <c r="AF39" s="260">
        <f t="shared" si="16"/>
      </c>
      <c r="AG39" s="261">
        <f t="shared" si="17"/>
      </c>
      <c r="AH39" s="261">
        <f t="shared" si="18"/>
      </c>
      <c r="AI39" s="260">
        <f t="shared" si="19"/>
      </c>
      <c r="AJ39" s="261">
        <f t="shared" si="20"/>
      </c>
      <c r="AK39" s="261">
        <f t="shared" si="21"/>
      </c>
      <c r="AL39" s="260">
        <f t="shared" si="22"/>
      </c>
      <c r="AM39" s="261">
        <f t="shared" si="23"/>
      </c>
      <c r="AN39" s="261">
        <f t="shared" si="24"/>
      </c>
      <c r="AO39" s="260">
        <f t="shared" si="25"/>
      </c>
      <c r="AP39" s="261">
        <f t="shared" si="26"/>
      </c>
      <c r="AQ39" s="261">
        <f t="shared" si="27"/>
      </c>
      <c r="AS39" s="102" t="str">
        <f t="shared" si="28"/>
        <v>---</v>
      </c>
      <c r="AT39" s="123" t="str">
        <f t="shared" si="29"/>
        <v>---</v>
      </c>
      <c r="AX39" s="121">
        <f t="shared" si="30"/>
      </c>
    </row>
    <row r="40" spans="2:50" ht="12.75">
      <c r="B40" s="118" t="str">
        <f>AS22</f>
        <v>---</v>
      </c>
      <c r="C40" s="119" t="s">
        <v>55</v>
      </c>
      <c r="D40" s="124">
        <f t="shared" si="32"/>
      </c>
      <c r="E40" s="86">
        <f>IF($AX$22="b",Tech!O$22,"")</f>
      </c>
      <c r="F40" s="86">
        <f>IF($AX$22="b",Tech!P$22,"")</f>
      </c>
      <c r="G40" s="86">
        <f>IF(AND(G$14&lt;&gt;"",$AX$22="b"),Tech!Q$22,"")</f>
      </c>
      <c r="H40" s="86">
        <f>IF(AND(H$14&lt;&gt;"",$AX$22="b"),Tech!R$22,"")</f>
      </c>
      <c r="I40" s="86">
        <f>IF(AND(I$14&lt;&gt;"",$AX$22="b"),Tech!S$22,"")</f>
      </c>
      <c r="J40" s="86">
        <f>IF(AND(J$14&lt;&gt;"",$AX$22="b"),Tech!T$22,"")</f>
      </c>
      <c r="K40" s="86">
        <f>IF(AND(K$14&lt;&gt;"",$AX$22="b"),Tech!U$22,"")</f>
      </c>
      <c r="L40" s="86">
        <f>IF(AND(L$14&lt;&gt;"",$AX$22="b"),Tech!V$22,"")</f>
      </c>
      <c r="M40" s="86">
        <f>IF(AND(M$14&lt;&gt;"",$AX$22="b"),Tech!W$22,"")</f>
      </c>
      <c r="N40" s="86">
        <f>IF(AND(N$14&lt;&gt;"",$AX$22="b"),Tech!X$22,"")</f>
      </c>
      <c r="P40" s="42">
        <f t="shared" si="31"/>
      </c>
      <c r="Q40" s="260">
        <f t="shared" si="1"/>
      </c>
      <c r="R40" s="261">
        <f t="shared" si="2"/>
      </c>
      <c r="S40" s="261">
        <f t="shared" si="3"/>
      </c>
      <c r="T40" s="260">
        <f t="shared" si="4"/>
      </c>
      <c r="U40" s="261">
        <f t="shared" si="5"/>
      </c>
      <c r="V40" s="261">
        <f t="shared" si="6"/>
      </c>
      <c r="W40" s="260">
        <f t="shared" si="7"/>
      </c>
      <c r="X40" s="261">
        <f t="shared" si="8"/>
      </c>
      <c r="Y40" s="261">
        <f t="shared" si="9"/>
      </c>
      <c r="Z40" s="260">
        <f t="shared" si="10"/>
      </c>
      <c r="AA40" s="261">
        <f t="shared" si="11"/>
      </c>
      <c r="AB40" s="261">
        <f t="shared" si="12"/>
      </c>
      <c r="AC40" s="260">
        <f t="shared" si="13"/>
      </c>
      <c r="AD40" s="261">
        <f t="shared" si="14"/>
      </c>
      <c r="AE40" s="261">
        <f t="shared" si="15"/>
      </c>
      <c r="AF40" s="260">
        <f t="shared" si="16"/>
      </c>
      <c r="AG40" s="261">
        <f t="shared" si="17"/>
      </c>
      <c r="AH40" s="261">
        <f t="shared" si="18"/>
      </c>
      <c r="AI40" s="260">
        <f t="shared" si="19"/>
      </c>
      <c r="AJ40" s="261">
        <f t="shared" si="20"/>
      </c>
      <c r="AK40" s="261">
        <f t="shared" si="21"/>
      </c>
      <c r="AL40" s="260">
        <f t="shared" si="22"/>
      </c>
      <c r="AM40" s="261">
        <f t="shared" si="23"/>
      </c>
      <c r="AN40" s="261">
        <f t="shared" si="24"/>
      </c>
      <c r="AO40" s="260">
        <f t="shared" si="25"/>
      </c>
      <c r="AP40" s="261">
        <f t="shared" si="26"/>
      </c>
      <c r="AQ40" s="261">
        <f t="shared" si="27"/>
      </c>
      <c r="AS40" s="102" t="str">
        <f t="shared" si="28"/>
        <v>---</v>
      </c>
      <c r="AT40" s="123" t="str">
        <f t="shared" si="29"/>
        <v>---</v>
      </c>
      <c r="AX40" s="121">
        <f t="shared" si="30"/>
      </c>
    </row>
    <row r="41" spans="3:50" ht="12.75">
      <c r="C41" s="122" t="s">
        <v>56</v>
      </c>
      <c r="D41" s="124">
        <f t="shared" si="32"/>
      </c>
      <c r="E41" s="86">
        <f>IF($AX$22="c",Tech!AA$22,"")</f>
      </c>
      <c r="F41" s="86">
        <f>IF($AX$22="c",Tech!AB$22,"")</f>
      </c>
      <c r="G41" s="86">
        <f>IF(AND(G$14&lt;&gt;"",$AX$22="c"),Tech!AC$22,"")</f>
      </c>
      <c r="H41" s="86">
        <f>IF(AND(H$14&lt;&gt;"",$AX$22="c"),Tech!AD$22,"")</f>
      </c>
      <c r="I41" s="86">
        <f>IF(AND(I$14&lt;&gt;"",$AX$22="c"),Tech!AE$22,"")</f>
      </c>
      <c r="J41" s="86">
        <f>IF(AND(J$14&lt;&gt;"",$AX$22="c"),Tech!AF$22,"")</f>
      </c>
      <c r="K41" s="86">
        <f>IF(AND(K$14&lt;&gt;"",$AX$22="c"),Tech!AG$22,"")</f>
      </c>
      <c r="L41" s="86">
        <f>IF(AND(L$14&lt;&gt;"",$AX$22="c"),Tech!AH$22,"")</f>
      </c>
      <c r="M41" s="86">
        <f>IF(AND(M$14&lt;&gt;"",$AX$22="c"),Tech!AI$22,"")</f>
      </c>
      <c r="N41" s="86">
        <f>IF(AND(N$14&lt;&gt;"",$AX$22="c"),Tech!AJ$22,"")</f>
      </c>
      <c r="P41" s="42">
        <f t="shared" si="31"/>
      </c>
      <c r="Q41" s="260">
        <f t="shared" si="1"/>
      </c>
      <c r="R41" s="261">
        <f t="shared" si="2"/>
      </c>
      <c r="S41" s="261">
        <f t="shared" si="3"/>
      </c>
      <c r="T41" s="260">
        <f t="shared" si="4"/>
      </c>
      <c r="U41" s="261">
        <f t="shared" si="5"/>
      </c>
      <c r="V41" s="261">
        <f t="shared" si="6"/>
      </c>
      <c r="W41" s="260">
        <f t="shared" si="7"/>
      </c>
      <c r="X41" s="261">
        <f t="shared" si="8"/>
      </c>
      <c r="Y41" s="261">
        <f t="shared" si="9"/>
      </c>
      <c r="Z41" s="260">
        <f t="shared" si="10"/>
      </c>
      <c r="AA41" s="261">
        <f t="shared" si="11"/>
      </c>
      <c r="AB41" s="261">
        <f t="shared" si="12"/>
      </c>
      <c r="AC41" s="260">
        <f t="shared" si="13"/>
      </c>
      <c r="AD41" s="261">
        <f t="shared" si="14"/>
      </c>
      <c r="AE41" s="261">
        <f t="shared" si="15"/>
      </c>
      <c r="AF41" s="260">
        <f t="shared" si="16"/>
      </c>
      <c r="AG41" s="261">
        <f t="shared" si="17"/>
      </c>
      <c r="AH41" s="261">
        <f t="shared" si="18"/>
      </c>
      <c r="AI41" s="260">
        <f t="shared" si="19"/>
      </c>
      <c r="AJ41" s="261">
        <f t="shared" si="20"/>
      </c>
      <c r="AK41" s="261">
        <f t="shared" si="21"/>
      </c>
      <c r="AL41" s="260">
        <f t="shared" si="22"/>
      </c>
      <c r="AM41" s="261">
        <f t="shared" si="23"/>
      </c>
      <c r="AN41" s="261">
        <f t="shared" si="24"/>
      </c>
      <c r="AO41" s="260">
        <f t="shared" si="25"/>
      </c>
      <c r="AP41" s="261">
        <f t="shared" si="26"/>
      </c>
      <c r="AQ41" s="261">
        <f t="shared" si="27"/>
      </c>
      <c r="AS41" s="102" t="str">
        <f t="shared" si="28"/>
        <v>---</v>
      </c>
      <c r="AT41" s="123" t="str">
        <f t="shared" si="29"/>
        <v>---</v>
      </c>
      <c r="AX41" s="121">
        <f t="shared" si="30"/>
      </c>
    </row>
    <row r="42" spans="2:50" ht="12.75">
      <c r="B42" s="118"/>
      <c r="C42" s="122" t="s">
        <v>57</v>
      </c>
      <c r="D42" s="124">
        <f t="shared" si="32"/>
      </c>
      <c r="E42" s="86">
        <f>IF($AX$22="c",Tech!AM$22,"")</f>
      </c>
      <c r="F42" s="86">
        <f>IF($AX$22="c",Tech!AN$22,"")</f>
      </c>
      <c r="G42" s="86">
        <f>IF(AND(G$14&lt;&gt;"",$AX$22="c"),Tech!AO$22,"")</f>
      </c>
      <c r="H42" s="86">
        <f>IF(AND(H$14&lt;&gt;"",$AX$22="c"),Tech!AP$22,"")</f>
      </c>
      <c r="I42" s="86">
        <f>IF(AND(I$14&lt;&gt;"",$AX$22="c"),Tech!AQ$22,"")</f>
      </c>
      <c r="J42" s="86">
        <f>IF(AND(J$14&lt;&gt;"",$AX$22="c"),Tech!AR$22,"")</f>
      </c>
      <c r="K42" s="86">
        <f>IF(AND(K$14&lt;&gt;"",$AX$22="c"),Tech!AS$22,"")</f>
      </c>
      <c r="L42" s="86">
        <f>IF(AND(L$14&lt;&gt;"",$AX$22="c"),Tech!AT$22,"")</f>
      </c>
      <c r="M42" s="86">
        <f>IF(AND(M$14&lt;&gt;"",$AX$22="c"),Tech!AU$22,"")</f>
      </c>
      <c r="N42" s="86">
        <f>IF(AND(N$14&lt;&gt;"",$AX$22="c"),Tech!AV$22,"")</f>
      </c>
      <c r="P42" s="42">
        <f t="shared" si="31"/>
      </c>
      <c r="Q42" s="260">
        <f t="shared" si="1"/>
      </c>
      <c r="R42" s="261">
        <f t="shared" si="2"/>
      </c>
      <c r="S42" s="261">
        <f t="shared" si="3"/>
      </c>
      <c r="T42" s="260">
        <f t="shared" si="4"/>
      </c>
      <c r="U42" s="261">
        <f t="shared" si="5"/>
      </c>
      <c r="V42" s="261">
        <f t="shared" si="6"/>
      </c>
      <c r="W42" s="260">
        <f t="shared" si="7"/>
      </c>
      <c r="X42" s="261">
        <f t="shared" si="8"/>
      </c>
      <c r="Y42" s="261">
        <f t="shared" si="9"/>
      </c>
      <c r="Z42" s="260">
        <f t="shared" si="10"/>
      </c>
      <c r="AA42" s="261">
        <f t="shared" si="11"/>
      </c>
      <c r="AB42" s="261">
        <f t="shared" si="12"/>
      </c>
      <c r="AC42" s="260">
        <f t="shared" si="13"/>
      </c>
      <c r="AD42" s="261">
        <f t="shared" si="14"/>
      </c>
      <c r="AE42" s="261">
        <f t="shared" si="15"/>
      </c>
      <c r="AF42" s="260">
        <f t="shared" si="16"/>
      </c>
      <c r="AG42" s="261">
        <f t="shared" si="17"/>
      </c>
      <c r="AH42" s="261">
        <f t="shared" si="18"/>
      </c>
      <c r="AI42" s="260">
        <f t="shared" si="19"/>
      </c>
      <c r="AJ42" s="261">
        <f t="shared" si="20"/>
      </c>
      <c r="AK42" s="261">
        <f t="shared" si="21"/>
      </c>
      <c r="AL42" s="260">
        <f t="shared" si="22"/>
      </c>
      <c r="AM42" s="261">
        <f t="shared" si="23"/>
      </c>
      <c r="AN42" s="261">
        <f t="shared" si="24"/>
      </c>
      <c r="AO42" s="260">
        <f t="shared" si="25"/>
      </c>
      <c r="AP42" s="261">
        <f t="shared" si="26"/>
      </c>
      <c r="AQ42" s="261">
        <f t="shared" si="27"/>
      </c>
      <c r="AS42" s="102" t="str">
        <f t="shared" si="28"/>
        <v>---</v>
      </c>
      <c r="AT42" s="123" t="str">
        <f t="shared" si="29"/>
        <v>---</v>
      </c>
      <c r="AX42" s="121">
        <f t="shared" si="30"/>
      </c>
    </row>
    <row r="43" spans="2:50" ht="12.75">
      <c r="B43" s="118"/>
      <c r="C43" s="122" t="s">
        <v>58</v>
      </c>
      <c r="D43" s="124">
        <f t="shared" si="32"/>
      </c>
      <c r="E43" s="86">
        <f>IF($AX$22="c",Tech!AY$22,"")</f>
      </c>
      <c r="F43" s="86">
        <f>IF($AX$22="c",Tech!AZ$22,"")</f>
      </c>
      <c r="G43" s="86">
        <f>IF(AND(G$14&lt;&gt;"",$AX$22="c"),Tech!BA$22,"")</f>
      </c>
      <c r="H43" s="86">
        <f>IF(AND(H$14&lt;&gt;"",$AX$22="c"),Tech!BB$22,"")</f>
      </c>
      <c r="I43" s="86">
        <f>IF(AND(I$14&lt;&gt;"",$AX$22="c"),Tech!BC$22,"")</f>
      </c>
      <c r="J43" s="86">
        <f>IF(AND(J$14&lt;&gt;"",$AX$22="c"),Tech!BD$22,"")</f>
      </c>
      <c r="K43" s="86">
        <f>IF(AND(K$14&lt;&gt;"",$AX$22="c"),Tech!BE$22,"")</f>
      </c>
      <c r="L43" s="86">
        <f>IF(AND(L$14&lt;&gt;"",$AX$22="c"),Tech!BF$22,"")</f>
      </c>
      <c r="M43" s="86">
        <f>IF(AND(M$14&lt;&gt;"",$AX$22="c"),Tech!BG$22,"")</f>
      </c>
      <c r="N43" s="86">
        <f>IF(AND(N$14&lt;&gt;"",$AX$22="c"),Tech!BH$22,"")</f>
      </c>
      <c r="P43" s="42">
        <f t="shared" si="31"/>
      </c>
      <c r="Q43" s="260">
        <f t="shared" si="1"/>
      </c>
      <c r="R43" s="261">
        <f t="shared" si="2"/>
      </c>
      <c r="S43" s="261">
        <f t="shared" si="3"/>
      </c>
      <c r="T43" s="260">
        <f t="shared" si="4"/>
      </c>
      <c r="U43" s="261">
        <f t="shared" si="5"/>
      </c>
      <c r="V43" s="261">
        <f t="shared" si="6"/>
      </c>
      <c r="W43" s="260">
        <f t="shared" si="7"/>
      </c>
      <c r="X43" s="261">
        <f t="shared" si="8"/>
      </c>
      <c r="Y43" s="261">
        <f t="shared" si="9"/>
      </c>
      <c r="Z43" s="260">
        <f t="shared" si="10"/>
      </c>
      <c r="AA43" s="261">
        <f t="shared" si="11"/>
      </c>
      <c r="AB43" s="261">
        <f t="shared" si="12"/>
      </c>
      <c r="AC43" s="260">
        <f t="shared" si="13"/>
      </c>
      <c r="AD43" s="261">
        <f t="shared" si="14"/>
      </c>
      <c r="AE43" s="261">
        <f t="shared" si="15"/>
      </c>
      <c r="AF43" s="260">
        <f t="shared" si="16"/>
      </c>
      <c r="AG43" s="261">
        <f t="shared" si="17"/>
      </c>
      <c r="AH43" s="261">
        <f t="shared" si="18"/>
      </c>
      <c r="AI43" s="260">
        <f t="shared" si="19"/>
      </c>
      <c r="AJ43" s="261">
        <f t="shared" si="20"/>
      </c>
      <c r="AK43" s="261">
        <f t="shared" si="21"/>
      </c>
      <c r="AL43" s="260">
        <f t="shared" si="22"/>
      </c>
      <c r="AM43" s="261">
        <f t="shared" si="23"/>
      </c>
      <c r="AN43" s="261">
        <f t="shared" si="24"/>
      </c>
      <c r="AO43" s="260">
        <f t="shared" si="25"/>
      </c>
      <c r="AP43" s="261">
        <f t="shared" si="26"/>
      </c>
      <c r="AQ43" s="261">
        <f t="shared" si="27"/>
      </c>
      <c r="AS43" s="102" t="str">
        <f t="shared" si="28"/>
        <v>---</v>
      </c>
      <c r="AT43" s="123" t="str">
        <f t="shared" si="29"/>
        <v>---</v>
      </c>
      <c r="AX43" s="121">
        <f t="shared" si="30"/>
      </c>
    </row>
    <row r="44" spans="2:50" ht="12.75">
      <c r="B44" s="118" t="str">
        <f>AS23</f>
        <v>---</v>
      </c>
      <c r="C44" s="119" t="s">
        <v>55</v>
      </c>
      <c r="D44" s="124">
        <f t="shared" si="32"/>
      </c>
      <c r="E44" s="86">
        <f>IF($AX$23="b",Tech!O$23,"")</f>
      </c>
      <c r="F44" s="86">
        <f>IF($AX$23="b",Tech!P$23,"")</f>
      </c>
      <c r="G44" s="86">
        <f>IF(AND(G$14&lt;&gt;"",$AX$23="b"),Tech!Q$23,"")</f>
      </c>
      <c r="H44" s="86">
        <f>IF(AND(H$14&lt;&gt;"",$AX$23="b"),Tech!R$23,"")</f>
      </c>
      <c r="I44" s="86">
        <f>IF(AND(I$14&lt;&gt;"",$AX$23="b"),Tech!S$23,"")</f>
      </c>
      <c r="J44" s="86">
        <f>IF(AND(J$14&lt;&gt;"",$AX$23="b"),Tech!T$23,"")</f>
      </c>
      <c r="K44" s="86">
        <f>IF(AND(K$14&lt;&gt;"",$AX$23="b"),Tech!U$23,"")</f>
      </c>
      <c r="L44" s="86">
        <f>IF(AND(L$14&lt;&gt;"",$AX$23="b"),Tech!V$23,"")</f>
      </c>
      <c r="M44" s="86">
        <f>IF(AND(M$14&lt;&gt;"",$AX$23="b"),Tech!W$23,"")</f>
      </c>
      <c r="N44" s="86">
        <f>IF(AND(N$14&lt;&gt;"",$AX$23="b"),Tech!X$23,"")</f>
      </c>
      <c r="P44" s="42">
        <f t="shared" si="31"/>
      </c>
      <c r="Q44" s="260">
        <f t="shared" si="1"/>
      </c>
      <c r="R44" s="261">
        <f t="shared" si="2"/>
      </c>
      <c r="S44" s="261">
        <f t="shared" si="3"/>
      </c>
      <c r="T44" s="260">
        <f t="shared" si="4"/>
      </c>
      <c r="U44" s="261">
        <f t="shared" si="5"/>
      </c>
      <c r="V44" s="261">
        <f t="shared" si="6"/>
      </c>
      <c r="W44" s="260">
        <f t="shared" si="7"/>
      </c>
      <c r="X44" s="261">
        <f t="shared" si="8"/>
      </c>
      <c r="Y44" s="261">
        <f t="shared" si="9"/>
      </c>
      <c r="Z44" s="260">
        <f t="shared" si="10"/>
      </c>
      <c r="AA44" s="261">
        <f t="shared" si="11"/>
      </c>
      <c r="AB44" s="261">
        <f t="shared" si="12"/>
      </c>
      <c r="AC44" s="260">
        <f t="shared" si="13"/>
      </c>
      <c r="AD44" s="261">
        <f t="shared" si="14"/>
      </c>
      <c r="AE44" s="261">
        <f t="shared" si="15"/>
      </c>
      <c r="AF44" s="260">
        <f t="shared" si="16"/>
      </c>
      <c r="AG44" s="261">
        <f t="shared" si="17"/>
      </c>
      <c r="AH44" s="261">
        <f t="shared" si="18"/>
      </c>
      <c r="AI44" s="260">
        <f t="shared" si="19"/>
      </c>
      <c r="AJ44" s="261">
        <f t="shared" si="20"/>
      </c>
      <c r="AK44" s="261">
        <f t="shared" si="21"/>
      </c>
      <c r="AL44" s="260">
        <f t="shared" si="22"/>
      </c>
      <c r="AM44" s="261">
        <f t="shared" si="23"/>
      </c>
      <c r="AN44" s="261">
        <f t="shared" si="24"/>
      </c>
      <c r="AO44" s="260">
        <f t="shared" si="25"/>
      </c>
      <c r="AP44" s="261">
        <f t="shared" si="26"/>
      </c>
      <c r="AQ44" s="261">
        <f t="shared" si="27"/>
      </c>
      <c r="AS44" s="102" t="str">
        <f t="shared" si="28"/>
        <v>---</v>
      </c>
      <c r="AT44" s="123" t="str">
        <f t="shared" si="29"/>
        <v>---</v>
      </c>
      <c r="AX44" s="121">
        <f t="shared" si="30"/>
      </c>
    </row>
    <row r="45" spans="2:50" ht="12.75">
      <c r="B45" s="118"/>
      <c r="C45" s="122" t="s">
        <v>56</v>
      </c>
      <c r="D45" s="124">
        <f t="shared" si="32"/>
      </c>
      <c r="E45" s="86">
        <f>IF($AX$23="c",Tech!AA$23,"")</f>
      </c>
      <c r="F45" s="86">
        <f>IF($AX$23="c",Tech!AB$23,"")</f>
      </c>
      <c r="G45" s="86">
        <f>IF(AND(G$14&lt;&gt;"",$AX$23="c"),Tech!AC$23,"")</f>
      </c>
      <c r="H45" s="86">
        <f>IF(AND(H$14&lt;&gt;"",$AX$23="c"),Tech!AD$23,"")</f>
      </c>
      <c r="I45" s="86">
        <f>IF(AND(I$14&lt;&gt;"",$AX$23="c"),Tech!AE$23,"")</f>
      </c>
      <c r="J45" s="86">
        <f>IF(AND(J$14&lt;&gt;"",$AX$23="c"),Tech!AF$23,"")</f>
      </c>
      <c r="K45" s="86">
        <f>IF(AND(K$14&lt;&gt;"",$AX$23="c"),Tech!AG$23,"")</f>
      </c>
      <c r="L45" s="86">
        <f>IF(AND(L$14&lt;&gt;"",$AX$23="c"),Tech!AH$23,"")</f>
      </c>
      <c r="M45" s="86">
        <f>IF(AND(M$14&lt;&gt;"",$AX$23="c"),Tech!AI$23,"")</f>
      </c>
      <c r="N45" s="86">
        <f>IF(AND(N$14&lt;&gt;"",$AX$23="c"),Tech!AJ$23,"")</f>
      </c>
      <c r="P45" s="42">
        <f t="shared" si="31"/>
      </c>
      <c r="Q45" s="260">
        <f t="shared" si="1"/>
      </c>
      <c r="R45" s="261">
        <f t="shared" si="2"/>
      </c>
      <c r="S45" s="261">
        <f t="shared" si="3"/>
      </c>
      <c r="T45" s="260">
        <f t="shared" si="4"/>
      </c>
      <c r="U45" s="261">
        <f t="shared" si="5"/>
      </c>
      <c r="V45" s="261">
        <f t="shared" si="6"/>
      </c>
      <c r="W45" s="260">
        <f t="shared" si="7"/>
      </c>
      <c r="X45" s="261">
        <f t="shared" si="8"/>
      </c>
      <c r="Y45" s="261">
        <f t="shared" si="9"/>
      </c>
      <c r="Z45" s="260">
        <f t="shared" si="10"/>
      </c>
      <c r="AA45" s="261">
        <f t="shared" si="11"/>
      </c>
      <c r="AB45" s="261">
        <f t="shared" si="12"/>
      </c>
      <c r="AC45" s="260">
        <f t="shared" si="13"/>
      </c>
      <c r="AD45" s="261">
        <f t="shared" si="14"/>
      </c>
      <c r="AE45" s="261">
        <f t="shared" si="15"/>
      </c>
      <c r="AF45" s="260">
        <f t="shared" si="16"/>
      </c>
      <c r="AG45" s="261">
        <f t="shared" si="17"/>
      </c>
      <c r="AH45" s="261">
        <f t="shared" si="18"/>
      </c>
      <c r="AI45" s="260">
        <f t="shared" si="19"/>
      </c>
      <c r="AJ45" s="261">
        <f t="shared" si="20"/>
      </c>
      <c r="AK45" s="261">
        <f t="shared" si="21"/>
      </c>
      <c r="AL45" s="260">
        <f t="shared" si="22"/>
      </c>
      <c r="AM45" s="261">
        <f t="shared" si="23"/>
      </c>
      <c r="AN45" s="261">
        <f t="shared" si="24"/>
      </c>
      <c r="AO45" s="260">
        <f t="shared" si="25"/>
      </c>
      <c r="AP45" s="261">
        <f t="shared" si="26"/>
      </c>
      <c r="AQ45" s="261">
        <f t="shared" si="27"/>
      </c>
      <c r="AS45" s="102" t="str">
        <f t="shared" si="28"/>
        <v>---</v>
      </c>
      <c r="AT45" s="123" t="str">
        <f t="shared" si="29"/>
        <v>---</v>
      </c>
      <c r="AX45" s="121">
        <f t="shared" si="30"/>
      </c>
    </row>
    <row r="46" spans="3:50" ht="12.75">
      <c r="C46" s="122" t="s">
        <v>57</v>
      </c>
      <c r="D46" s="124">
        <f t="shared" si="32"/>
      </c>
      <c r="E46" s="86">
        <f>IF($AX$23="c",Tech!AM$23,"")</f>
      </c>
      <c r="F46" s="86">
        <f>IF($AX$23="c",Tech!AN$23,"")</f>
      </c>
      <c r="G46" s="86">
        <f>IF(AND(G$14&lt;&gt;"",$AX$23="c"),Tech!AO$23,"")</f>
      </c>
      <c r="H46" s="86">
        <f>IF(AND(H$14&lt;&gt;"",$AX$23="c"),Tech!AP$23,"")</f>
      </c>
      <c r="I46" s="86">
        <f>IF(AND(I$14&lt;&gt;"",$AX$23="c"),Tech!AQ$23,"")</f>
      </c>
      <c r="J46" s="86">
        <f>IF(AND(J$14&lt;&gt;"",$AX$23="c"),Tech!AR$23,"")</f>
      </c>
      <c r="K46" s="86">
        <f>IF(AND(K$14&lt;&gt;"",$AX$23="c"),Tech!AS$23,"")</f>
      </c>
      <c r="L46" s="86">
        <f>IF(AND(L$14&lt;&gt;"",$AX$23="c"),Tech!AT$23,"")</f>
      </c>
      <c r="M46" s="86">
        <f>IF(AND(M$14&lt;&gt;"",$AX$23="c"),Tech!AU$23,"")</f>
      </c>
      <c r="N46" s="86">
        <f>IF(AND(N$14&lt;&gt;"",$AX$23="c"),Tech!AV$23,"")</f>
      </c>
      <c r="P46" s="42">
        <f t="shared" si="31"/>
      </c>
      <c r="Q46" s="260">
        <f t="shared" si="1"/>
      </c>
      <c r="R46" s="261">
        <f t="shared" si="2"/>
      </c>
      <c r="S46" s="261">
        <f t="shared" si="3"/>
      </c>
      <c r="T46" s="260">
        <f t="shared" si="4"/>
      </c>
      <c r="U46" s="261">
        <f t="shared" si="5"/>
      </c>
      <c r="V46" s="261">
        <f t="shared" si="6"/>
      </c>
      <c r="W46" s="260">
        <f t="shared" si="7"/>
      </c>
      <c r="X46" s="261">
        <f t="shared" si="8"/>
      </c>
      <c r="Y46" s="261">
        <f t="shared" si="9"/>
      </c>
      <c r="Z46" s="260">
        <f t="shared" si="10"/>
      </c>
      <c r="AA46" s="261">
        <f t="shared" si="11"/>
      </c>
      <c r="AB46" s="261">
        <f t="shared" si="12"/>
      </c>
      <c r="AC46" s="260">
        <f t="shared" si="13"/>
      </c>
      <c r="AD46" s="261">
        <f t="shared" si="14"/>
      </c>
      <c r="AE46" s="261">
        <f t="shared" si="15"/>
      </c>
      <c r="AF46" s="260">
        <f t="shared" si="16"/>
      </c>
      <c r="AG46" s="261">
        <f t="shared" si="17"/>
      </c>
      <c r="AH46" s="261">
        <f t="shared" si="18"/>
      </c>
      <c r="AI46" s="260">
        <f t="shared" si="19"/>
      </c>
      <c r="AJ46" s="261">
        <f t="shared" si="20"/>
      </c>
      <c r="AK46" s="261">
        <f t="shared" si="21"/>
      </c>
      <c r="AL46" s="260">
        <f t="shared" si="22"/>
      </c>
      <c r="AM46" s="261">
        <f t="shared" si="23"/>
      </c>
      <c r="AN46" s="261">
        <f t="shared" si="24"/>
      </c>
      <c r="AO46" s="260">
        <f t="shared" si="25"/>
      </c>
      <c r="AP46" s="261">
        <f t="shared" si="26"/>
      </c>
      <c r="AQ46" s="261">
        <f t="shared" si="27"/>
      </c>
      <c r="AS46" s="102" t="str">
        <f t="shared" si="28"/>
        <v>---</v>
      </c>
      <c r="AT46" s="123" t="str">
        <f t="shared" si="29"/>
        <v>---</v>
      </c>
      <c r="AX46" s="121">
        <f t="shared" si="30"/>
      </c>
    </row>
    <row r="47" spans="2:50" ht="12.75">
      <c r="B47" s="118"/>
      <c r="C47" s="122" t="s">
        <v>58</v>
      </c>
      <c r="D47" s="124">
        <f t="shared" si="32"/>
      </c>
      <c r="E47" s="86">
        <f>IF($AX$23="c",Tech!AY$23,"")</f>
      </c>
      <c r="F47" s="86">
        <f>IF($AX$23="c",Tech!AZ$23,"")</f>
      </c>
      <c r="G47" s="86">
        <f>IF(AND(G$14&lt;&gt;"",$AX$23="c"),Tech!BA$23,"")</f>
      </c>
      <c r="H47" s="86">
        <f>IF(AND(H$14&lt;&gt;"",$AX$23="c"),Tech!BB$23,"")</f>
      </c>
      <c r="I47" s="86">
        <f>IF(AND(I$14&lt;&gt;"",$AX$23="c"),Tech!BC$23,"")</f>
      </c>
      <c r="J47" s="86">
        <f>IF(AND(J$14&lt;&gt;"",$AX$23="c"),Tech!BD$23,"")</f>
      </c>
      <c r="K47" s="86">
        <f>IF(AND(K$14&lt;&gt;"",$AX$23="c"),Tech!BE$23,"")</f>
      </c>
      <c r="L47" s="86">
        <f>IF(AND(L$14&lt;&gt;"",$AX$23="c"),Tech!BF$23,"")</f>
      </c>
      <c r="M47" s="86">
        <f>IF(AND(M$14&lt;&gt;"",$AX$23="c"),Tech!BG$23,"")</f>
      </c>
      <c r="N47" s="86">
        <f>IF(AND(N$14&lt;&gt;"",$AX$23="c"),Tech!BH$23,"")</f>
      </c>
      <c r="P47" s="42">
        <f t="shared" si="31"/>
      </c>
      <c r="Q47" s="260">
        <f t="shared" si="1"/>
      </c>
      <c r="R47" s="261">
        <f t="shared" si="2"/>
      </c>
      <c r="S47" s="261">
        <f t="shared" si="3"/>
      </c>
      <c r="T47" s="260">
        <f t="shared" si="4"/>
      </c>
      <c r="U47" s="261">
        <f t="shared" si="5"/>
      </c>
      <c r="V47" s="261">
        <f t="shared" si="6"/>
      </c>
      <c r="W47" s="260">
        <f t="shared" si="7"/>
      </c>
      <c r="X47" s="261">
        <f t="shared" si="8"/>
      </c>
      <c r="Y47" s="261">
        <f t="shared" si="9"/>
      </c>
      <c r="Z47" s="260">
        <f t="shared" si="10"/>
      </c>
      <c r="AA47" s="261">
        <f t="shared" si="11"/>
      </c>
      <c r="AB47" s="261">
        <f t="shared" si="12"/>
      </c>
      <c r="AC47" s="260">
        <f t="shared" si="13"/>
      </c>
      <c r="AD47" s="261">
        <f t="shared" si="14"/>
      </c>
      <c r="AE47" s="261">
        <f t="shared" si="15"/>
      </c>
      <c r="AF47" s="260">
        <f t="shared" si="16"/>
      </c>
      <c r="AG47" s="261">
        <f t="shared" si="17"/>
      </c>
      <c r="AH47" s="261">
        <f t="shared" si="18"/>
      </c>
      <c r="AI47" s="260">
        <f t="shared" si="19"/>
      </c>
      <c r="AJ47" s="261">
        <f t="shared" si="20"/>
      </c>
      <c r="AK47" s="261">
        <f t="shared" si="21"/>
      </c>
      <c r="AL47" s="260">
        <f t="shared" si="22"/>
      </c>
      <c r="AM47" s="261">
        <f t="shared" si="23"/>
      </c>
      <c r="AN47" s="261">
        <f t="shared" si="24"/>
      </c>
      <c r="AO47" s="260">
        <f t="shared" si="25"/>
      </c>
      <c r="AP47" s="261">
        <f t="shared" si="26"/>
      </c>
      <c r="AQ47" s="261">
        <f t="shared" si="27"/>
      </c>
      <c r="AS47" s="102" t="str">
        <f t="shared" si="28"/>
        <v>---</v>
      </c>
      <c r="AT47" s="123" t="str">
        <f t="shared" si="29"/>
        <v>---</v>
      </c>
      <c r="AX47" s="121">
        <f t="shared" si="30"/>
      </c>
    </row>
    <row r="48" spans="2:50" ht="12.75">
      <c r="B48" s="118" t="str">
        <f>AS24</f>
        <v>---</v>
      </c>
      <c r="C48" s="119" t="s">
        <v>55</v>
      </c>
      <c r="D48" s="124">
        <f t="shared" si="32"/>
      </c>
      <c r="E48" s="86">
        <f>IF($AX$24="b",Tech!O$24,"")</f>
      </c>
      <c r="F48" s="86">
        <f>IF($AX$24="b",Tech!P$24,"")</f>
      </c>
      <c r="G48" s="86">
        <f>IF(AND(G$14&lt;&gt;"",$AX$24="b"),Tech!Q$24,"")</f>
      </c>
      <c r="H48" s="86">
        <f>IF(AND(H$14&lt;&gt;"",$AX$24="b"),Tech!R$24,"")</f>
      </c>
      <c r="I48" s="86">
        <f>IF(AND(I$14&lt;&gt;"",$AX$24="b"),Tech!S$24,"")</f>
      </c>
      <c r="J48" s="86">
        <f>IF(AND(J$14&lt;&gt;"",$AX$24="b"),Tech!T$24,"")</f>
      </c>
      <c r="K48" s="86">
        <f>IF(AND(K$14&lt;&gt;"",$AX$24="b"),Tech!U$24,"")</f>
      </c>
      <c r="L48" s="86">
        <f>IF(AND(L$14&lt;&gt;"",$AX$24="b"),Tech!V$24,"")</f>
      </c>
      <c r="M48" s="86">
        <f>IF(AND(M$14&lt;&gt;"",$AX$24="b"),Tech!W$24,"")</f>
      </c>
      <c r="N48" s="86">
        <f>IF(AND(N$14&lt;&gt;"",$AX$24="b"),Tech!X$24,"")</f>
      </c>
      <c r="P48" s="42">
        <f t="shared" si="31"/>
      </c>
      <c r="Q48" s="260">
        <f t="shared" si="1"/>
      </c>
      <c r="R48" s="261">
        <f t="shared" si="2"/>
      </c>
      <c r="S48" s="261">
        <f t="shared" si="3"/>
      </c>
      <c r="T48" s="260">
        <f t="shared" si="4"/>
      </c>
      <c r="U48" s="261">
        <f t="shared" si="5"/>
      </c>
      <c r="V48" s="261">
        <f t="shared" si="6"/>
      </c>
      <c r="W48" s="260">
        <f t="shared" si="7"/>
      </c>
      <c r="X48" s="261">
        <f t="shared" si="8"/>
      </c>
      <c r="Y48" s="261">
        <f t="shared" si="9"/>
      </c>
      <c r="Z48" s="260">
        <f t="shared" si="10"/>
      </c>
      <c r="AA48" s="261">
        <f t="shared" si="11"/>
      </c>
      <c r="AB48" s="261">
        <f t="shared" si="12"/>
      </c>
      <c r="AC48" s="260">
        <f t="shared" si="13"/>
      </c>
      <c r="AD48" s="261">
        <f t="shared" si="14"/>
      </c>
      <c r="AE48" s="261">
        <f t="shared" si="15"/>
      </c>
      <c r="AF48" s="260">
        <f t="shared" si="16"/>
      </c>
      <c r="AG48" s="261">
        <f t="shared" si="17"/>
      </c>
      <c r="AH48" s="261">
        <f t="shared" si="18"/>
      </c>
      <c r="AI48" s="260">
        <f t="shared" si="19"/>
      </c>
      <c r="AJ48" s="261">
        <f t="shared" si="20"/>
      </c>
      <c r="AK48" s="261">
        <f t="shared" si="21"/>
      </c>
      <c r="AL48" s="260">
        <f t="shared" si="22"/>
      </c>
      <c r="AM48" s="261">
        <f t="shared" si="23"/>
      </c>
      <c r="AN48" s="261">
        <f t="shared" si="24"/>
      </c>
      <c r="AO48" s="260">
        <f t="shared" si="25"/>
      </c>
      <c r="AP48" s="261">
        <f t="shared" si="26"/>
      </c>
      <c r="AQ48" s="261">
        <f t="shared" si="27"/>
      </c>
      <c r="AS48" s="102" t="str">
        <f t="shared" si="28"/>
        <v>---</v>
      </c>
      <c r="AT48" s="123" t="str">
        <f t="shared" si="29"/>
        <v>---</v>
      </c>
      <c r="AX48" s="121">
        <f t="shared" si="30"/>
      </c>
    </row>
    <row r="49" spans="2:50" ht="12.75">
      <c r="B49" s="118"/>
      <c r="C49" s="122" t="s">
        <v>56</v>
      </c>
      <c r="D49" s="124">
        <f t="shared" si="32"/>
      </c>
      <c r="E49" s="86">
        <f>IF($AX$24="c",Tech!AA$24,"")</f>
      </c>
      <c r="F49" s="86">
        <f>IF($AX$24="c",Tech!AB$24,"")</f>
      </c>
      <c r="G49" s="86">
        <f>IF(AND(G$14&lt;&gt;"",$AX$24="c"),Tech!AC$24,"")</f>
      </c>
      <c r="H49" s="86">
        <f>IF(AND(H$14&lt;&gt;"",$AX$24="c"),Tech!AD$24,"")</f>
      </c>
      <c r="I49" s="86">
        <f>IF(AND(I$14&lt;&gt;"",$AX$24="c"),Tech!AE$24,"")</f>
      </c>
      <c r="J49" s="86">
        <f>IF(AND(J$14&lt;&gt;"",$AX$24="c"),Tech!AF$24,"")</f>
      </c>
      <c r="K49" s="86">
        <f>IF(AND(K$14&lt;&gt;"",$AX$24="c"),Tech!AG$24,"")</f>
      </c>
      <c r="L49" s="86">
        <f>IF(AND(L$14&lt;&gt;"",$AX$24="c"),Tech!AH$24,"")</f>
      </c>
      <c r="M49" s="86">
        <f>IF(AND(M$14&lt;&gt;"",$AX$24="c"),Tech!AI$24,"")</f>
      </c>
      <c r="N49" s="86">
        <f>IF(AND(N$14&lt;&gt;"",$AX$24="c"),Tech!AJ$24,"")</f>
      </c>
      <c r="P49" s="42">
        <f t="shared" si="31"/>
      </c>
      <c r="Q49" s="260">
        <f t="shared" si="1"/>
      </c>
      <c r="R49" s="261">
        <f t="shared" si="2"/>
      </c>
      <c r="S49" s="261">
        <f t="shared" si="3"/>
      </c>
      <c r="T49" s="260">
        <f t="shared" si="4"/>
      </c>
      <c r="U49" s="261">
        <f t="shared" si="5"/>
      </c>
      <c r="V49" s="261">
        <f t="shared" si="6"/>
      </c>
      <c r="W49" s="260">
        <f t="shared" si="7"/>
      </c>
      <c r="X49" s="261">
        <f t="shared" si="8"/>
      </c>
      <c r="Y49" s="261">
        <f t="shared" si="9"/>
      </c>
      <c r="Z49" s="260">
        <f t="shared" si="10"/>
      </c>
      <c r="AA49" s="261">
        <f t="shared" si="11"/>
      </c>
      <c r="AB49" s="261">
        <f t="shared" si="12"/>
      </c>
      <c r="AC49" s="260">
        <f t="shared" si="13"/>
      </c>
      <c r="AD49" s="261">
        <f t="shared" si="14"/>
      </c>
      <c r="AE49" s="261">
        <f t="shared" si="15"/>
      </c>
      <c r="AF49" s="260">
        <f t="shared" si="16"/>
      </c>
      <c r="AG49" s="261">
        <f t="shared" si="17"/>
      </c>
      <c r="AH49" s="261">
        <f t="shared" si="18"/>
      </c>
      <c r="AI49" s="260">
        <f t="shared" si="19"/>
      </c>
      <c r="AJ49" s="261">
        <f t="shared" si="20"/>
      </c>
      <c r="AK49" s="261">
        <f t="shared" si="21"/>
      </c>
      <c r="AL49" s="260">
        <f t="shared" si="22"/>
      </c>
      <c r="AM49" s="261">
        <f t="shared" si="23"/>
      </c>
      <c r="AN49" s="261">
        <f t="shared" si="24"/>
      </c>
      <c r="AO49" s="260">
        <f t="shared" si="25"/>
      </c>
      <c r="AP49" s="261">
        <f t="shared" si="26"/>
      </c>
      <c r="AQ49" s="261">
        <f t="shared" si="27"/>
      </c>
      <c r="AS49" s="102" t="str">
        <f t="shared" si="28"/>
        <v>---</v>
      </c>
      <c r="AT49" s="123" t="str">
        <f t="shared" si="29"/>
        <v>---</v>
      </c>
      <c r="AX49" s="121">
        <f t="shared" si="30"/>
      </c>
    </row>
    <row r="50" spans="2:50" ht="12.75">
      <c r="B50" s="118"/>
      <c r="C50" s="122" t="s">
        <v>57</v>
      </c>
      <c r="D50" s="124">
        <f t="shared" si="32"/>
      </c>
      <c r="E50" s="86">
        <f>IF($AX$24="c",Tech!AM$24,"")</f>
      </c>
      <c r="F50" s="86">
        <f>IF($AX$24="c",Tech!AN$24,"")</f>
      </c>
      <c r="G50" s="86">
        <f>IF(AND(G$14&lt;&gt;"",$AX$24="c"),Tech!AO$24,"")</f>
      </c>
      <c r="H50" s="86">
        <f>IF(AND(H$14&lt;&gt;"",$AX$24="c"),Tech!AP$24,"")</f>
      </c>
      <c r="I50" s="86">
        <f>IF(AND(I$14&lt;&gt;"",$AX$24="c"),Tech!AQ$24,"")</f>
      </c>
      <c r="J50" s="86">
        <f>IF(AND(J$14&lt;&gt;"",$AX$24="c"),Tech!AR$24,"")</f>
      </c>
      <c r="K50" s="86">
        <f>IF(AND(K$14&lt;&gt;"",$AX$24="c"),Tech!AS$24,"")</f>
      </c>
      <c r="L50" s="86">
        <f>IF(AND(L$14&lt;&gt;"",$AX$24="c"),Tech!AT$24,"")</f>
      </c>
      <c r="M50" s="86">
        <f>IF(AND(M$14&lt;&gt;"",$AX$24="c"),Tech!AU$24,"")</f>
      </c>
      <c r="N50" s="86">
        <f>IF(AND(N$14&lt;&gt;"",$AX$24="c"),Tech!AV$24,"")</f>
      </c>
      <c r="P50" s="42">
        <f t="shared" si="31"/>
      </c>
      <c r="Q50" s="260">
        <f t="shared" si="1"/>
      </c>
      <c r="R50" s="261">
        <f t="shared" si="2"/>
      </c>
      <c r="S50" s="261">
        <f t="shared" si="3"/>
      </c>
      <c r="T50" s="260">
        <f t="shared" si="4"/>
      </c>
      <c r="U50" s="261">
        <f t="shared" si="5"/>
      </c>
      <c r="V50" s="261">
        <f t="shared" si="6"/>
      </c>
      <c r="W50" s="260">
        <f t="shared" si="7"/>
      </c>
      <c r="X50" s="261">
        <f t="shared" si="8"/>
      </c>
      <c r="Y50" s="261">
        <f t="shared" si="9"/>
      </c>
      <c r="Z50" s="260">
        <f t="shared" si="10"/>
      </c>
      <c r="AA50" s="261">
        <f t="shared" si="11"/>
      </c>
      <c r="AB50" s="261">
        <f t="shared" si="12"/>
      </c>
      <c r="AC50" s="260">
        <f t="shared" si="13"/>
      </c>
      <c r="AD50" s="261">
        <f t="shared" si="14"/>
      </c>
      <c r="AE50" s="261">
        <f t="shared" si="15"/>
      </c>
      <c r="AF50" s="260">
        <f t="shared" si="16"/>
      </c>
      <c r="AG50" s="261">
        <f t="shared" si="17"/>
      </c>
      <c r="AH50" s="261">
        <f t="shared" si="18"/>
      </c>
      <c r="AI50" s="260">
        <f t="shared" si="19"/>
      </c>
      <c r="AJ50" s="261">
        <f t="shared" si="20"/>
      </c>
      <c r="AK50" s="261">
        <f t="shared" si="21"/>
      </c>
      <c r="AL50" s="260">
        <f t="shared" si="22"/>
      </c>
      <c r="AM50" s="261">
        <f t="shared" si="23"/>
      </c>
      <c r="AN50" s="261">
        <f t="shared" si="24"/>
      </c>
      <c r="AO50" s="260">
        <f t="shared" si="25"/>
      </c>
      <c r="AP50" s="261">
        <f t="shared" si="26"/>
      </c>
      <c r="AQ50" s="261">
        <f t="shared" si="27"/>
      </c>
      <c r="AS50" s="102" t="str">
        <f t="shared" si="28"/>
        <v>---</v>
      </c>
      <c r="AT50" s="123" t="str">
        <f t="shared" si="29"/>
        <v>---</v>
      </c>
      <c r="AX50" s="121">
        <f t="shared" si="30"/>
      </c>
    </row>
    <row r="51" spans="3:50" ht="12.75">
      <c r="C51" s="122" t="s">
        <v>58</v>
      </c>
      <c r="D51" s="124">
        <f t="shared" si="32"/>
      </c>
      <c r="E51" s="86">
        <f>IF($AX$24="c",Tech!AY$24,"")</f>
      </c>
      <c r="F51" s="86">
        <f>IF($AX$24="c",Tech!AZ$24,"")</f>
      </c>
      <c r="G51" s="86">
        <f>IF(AND(G$14&lt;&gt;"",$AX$24="c"),Tech!BA$24,"")</f>
      </c>
      <c r="H51" s="86">
        <f>IF(AND(H$14&lt;&gt;"",$AX$24="c"),Tech!BB$24,"")</f>
      </c>
      <c r="I51" s="86">
        <f>IF(AND(I$14&lt;&gt;"",$AX$24="c"),Tech!BC$24,"")</f>
      </c>
      <c r="J51" s="86">
        <f>IF(AND(J$14&lt;&gt;"",$AX$24="c"),Tech!BD$24,"")</f>
      </c>
      <c r="K51" s="86">
        <f>IF(AND(K$14&lt;&gt;"",$AX$24="c"),Tech!BE$24,"")</f>
      </c>
      <c r="L51" s="86">
        <f>IF(AND(L$14&lt;&gt;"",$AX$24="c"),Tech!BF$24,"")</f>
      </c>
      <c r="M51" s="86">
        <f>IF(AND(M$14&lt;&gt;"",$AX$24="c"),Tech!BG$24,"")</f>
      </c>
      <c r="N51" s="86">
        <f>IF(AND(N$14&lt;&gt;"",$AX$24="c"),Tech!BH$24,"")</f>
      </c>
      <c r="P51" s="42">
        <f t="shared" si="31"/>
      </c>
      <c r="Q51" s="260">
        <f t="shared" si="1"/>
      </c>
      <c r="R51" s="261">
        <f t="shared" si="2"/>
      </c>
      <c r="S51" s="261">
        <f t="shared" si="3"/>
      </c>
      <c r="T51" s="260">
        <f t="shared" si="4"/>
      </c>
      <c r="U51" s="261">
        <f t="shared" si="5"/>
      </c>
      <c r="V51" s="261">
        <f t="shared" si="6"/>
      </c>
      <c r="W51" s="260">
        <f t="shared" si="7"/>
      </c>
      <c r="X51" s="261">
        <f t="shared" si="8"/>
      </c>
      <c r="Y51" s="261">
        <f t="shared" si="9"/>
      </c>
      <c r="Z51" s="260">
        <f t="shared" si="10"/>
      </c>
      <c r="AA51" s="261">
        <f t="shared" si="11"/>
      </c>
      <c r="AB51" s="261">
        <f t="shared" si="12"/>
      </c>
      <c r="AC51" s="260">
        <f t="shared" si="13"/>
      </c>
      <c r="AD51" s="261">
        <f t="shared" si="14"/>
      </c>
      <c r="AE51" s="261">
        <f t="shared" si="15"/>
      </c>
      <c r="AF51" s="260">
        <f t="shared" si="16"/>
      </c>
      <c r="AG51" s="261">
        <f t="shared" si="17"/>
      </c>
      <c r="AH51" s="261">
        <f t="shared" si="18"/>
      </c>
      <c r="AI51" s="260">
        <f t="shared" si="19"/>
      </c>
      <c r="AJ51" s="261">
        <f t="shared" si="20"/>
      </c>
      <c r="AK51" s="261">
        <f t="shared" si="21"/>
      </c>
      <c r="AL51" s="260">
        <f t="shared" si="22"/>
      </c>
      <c r="AM51" s="261">
        <f t="shared" si="23"/>
      </c>
      <c r="AN51" s="261">
        <f t="shared" si="24"/>
      </c>
      <c r="AO51" s="260">
        <f t="shared" si="25"/>
      </c>
      <c r="AP51" s="261">
        <f t="shared" si="26"/>
      </c>
      <c r="AQ51" s="261">
        <f t="shared" si="27"/>
      </c>
      <c r="AS51" s="102" t="str">
        <f t="shared" si="28"/>
        <v>---</v>
      </c>
      <c r="AT51" s="123" t="str">
        <f t="shared" si="29"/>
        <v>---</v>
      </c>
      <c r="AX51" s="121">
        <f t="shared" si="30"/>
      </c>
    </row>
    <row r="52" spans="2:50" ht="12.75">
      <c r="B52" s="118" t="str">
        <f>AS25</f>
        <v>---</v>
      </c>
      <c r="C52" s="119" t="s">
        <v>55</v>
      </c>
      <c r="D52" s="124">
        <f t="shared" si="32"/>
      </c>
      <c r="E52" s="86">
        <f>IF($AX$25="b",Tech!O$25,"")</f>
      </c>
      <c r="F52" s="86">
        <f>IF($AX$25="b",Tech!P$25,"")</f>
      </c>
      <c r="G52" s="86">
        <f>IF(AND(G$14&lt;&gt;"",$AX$25="b"),Tech!Q$25,"")</f>
      </c>
      <c r="H52" s="86">
        <f>IF(AND(H$14&lt;&gt;"",$AX$25="b"),Tech!R$25,"")</f>
      </c>
      <c r="I52" s="86">
        <f>IF(AND(I$14&lt;&gt;"",$AX$25="b"),Tech!S$25,"")</f>
      </c>
      <c r="J52" s="86">
        <f>IF(AND(J$14&lt;&gt;"",$AX$25="b"),Tech!T$25,"")</f>
      </c>
      <c r="K52" s="86">
        <f>IF(AND(K$14&lt;&gt;"",$AX$25="b"),Tech!U$25,"")</f>
      </c>
      <c r="L52" s="86">
        <f>IF(AND(L$14&lt;&gt;"",$AX$25="b"),Tech!V$25,"")</f>
      </c>
      <c r="M52" s="86">
        <f>IF(AND(M$14&lt;&gt;"",$AX$25="b"),Tech!W$25,"")</f>
      </c>
      <c r="N52" s="86">
        <f>IF(AND(N$14&lt;&gt;"",$AX$25="b"),Tech!X$25,"")</f>
      </c>
      <c r="P52" s="42">
        <f t="shared" si="31"/>
      </c>
      <c r="Q52" s="260">
        <f t="shared" si="1"/>
      </c>
      <c r="R52" s="261">
        <f t="shared" si="2"/>
      </c>
      <c r="S52" s="261">
        <f t="shared" si="3"/>
      </c>
      <c r="T52" s="260">
        <f t="shared" si="4"/>
      </c>
      <c r="U52" s="261">
        <f t="shared" si="5"/>
      </c>
      <c r="V52" s="261">
        <f t="shared" si="6"/>
      </c>
      <c r="W52" s="260">
        <f t="shared" si="7"/>
      </c>
      <c r="X52" s="261">
        <f t="shared" si="8"/>
      </c>
      <c r="Y52" s="261">
        <f t="shared" si="9"/>
      </c>
      <c r="Z52" s="260">
        <f t="shared" si="10"/>
      </c>
      <c r="AA52" s="261">
        <f t="shared" si="11"/>
      </c>
      <c r="AB52" s="261">
        <f t="shared" si="12"/>
      </c>
      <c r="AC52" s="260">
        <f t="shared" si="13"/>
      </c>
      <c r="AD52" s="261">
        <f t="shared" si="14"/>
      </c>
      <c r="AE52" s="261">
        <f t="shared" si="15"/>
      </c>
      <c r="AF52" s="260">
        <f t="shared" si="16"/>
      </c>
      <c r="AG52" s="261">
        <f t="shared" si="17"/>
      </c>
      <c r="AH52" s="261">
        <f t="shared" si="18"/>
      </c>
      <c r="AI52" s="260">
        <f t="shared" si="19"/>
      </c>
      <c r="AJ52" s="261">
        <f t="shared" si="20"/>
      </c>
      <c r="AK52" s="261">
        <f t="shared" si="21"/>
      </c>
      <c r="AL52" s="260">
        <f t="shared" si="22"/>
      </c>
      <c r="AM52" s="261">
        <f t="shared" si="23"/>
      </c>
      <c r="AN52" s="261">
        <f t="shared" si="24"/>
      </c>
      <c r="AO52" s="260">
        <f t="shared" si="25"/>
      </c>
      <c r="AP52" s="261">
        <f t="shared" si="26"/>
      </c>
      <c r="AQ52" s="261">
        <f t="shared" si="27"/>
      </c>
      <c r="AS52" s="102" t="str">
        <f t="shared" si="28"/>
        <v>---</v>
      </c>
      <c r="AT52" s="123" t="str">
        <f t="shared" si="29"/>
        <v>---</v>
      </c>
      <c r="AX52" s="121">
        <f t="shared" si="30"/>
      </c>
    </row>
    <row r="53" spans="2:50" ht="12.75">
      <c r="B53" s="118"/>
      <c r="C53" s="122" t="s">
        <v>56</v>
      </c>
      <c r="D53" s="124">
        <f t="shared" si="32"/>
      </c>
      <c r="E53" s="86">
        <f>IF($AX$25="c",Tech!AA$25,"")</f>
      </c>
      <c r="F53" s="86">
        <f>IF($AX$25="c",Tech!AB$25,"")</f>
      </c>
      <c r="G53" s="86">
        <f>IF(AND(G$14&lt;&gt;"",$AX$25="c"),Tech!AC$25,"")</f>
      </c>
      <c r="H53" s="86">
        <f>IF(AND(H$14&lt;&gt;"",$AX$25="c"),Tech!AD$25,"")</f>
      </c>
      <c r="I53" s="86">
        <f>IF(AND(I$14&lt;&gt;"",$AX$25="c"),Tech!AE$25,"")</f>
      </c>
      <c r="J53" s="86">
        <f>IF(AND(J$14&lt;&gt;"",$AX$25="c"),Tech!AF$25,"")</f>
      </c>
      <c r="K53" s="86">
        <f>IF(AND(K$14&lt;&gt;"",$AX$25="c"),Tech!AG$25,"")</f>
      </c>
      <c r="L53" s="86">
        <f>IF(AND(L$14&lt;&gt;"",$AX$25="c"),Tech!AH$25,"")</f>
      </c>
      <c r="M53" s="86">
        <f>IF(AND(M$14&lt;&gt;"",$AX$25="c"),Tech!AI$25,"")</f>
      </c>
      <c r="N53" s="86">
        <f>IF(AND(N$14&lt;&gt;"",$AX$25="c"),Tech!AJ$25,"")</f>
      </c>
      <c r="P53" s="42">
        <f t="shared" si="31"/>
      </c>
      <c r="Q53" s="260">
        <f t="shared" si="1"/>
      </c>
      <c r="R53" s="261">
        <f t="shared" si="2"/>
      </c>
      <c r="S53" s="261">
        <f t="shared" si="3"/>
      </c>
      <c r="T53" s="260">
        <f t="shared" si="4"/>
      </c>
      <c r="U53" s="261">
        <f t="shared" si="5"/>
      </c>
      <c r="V53" s="261">
        <f t="shared" si="6"/>
      </c>
      <c r="W53" s="260">
        <f t="shared" si="7"/>
      </c>
      <c r="X53" s="261">
        <f t="shared" si="8"/>
      </c>
      <c r="Y53" s="261">
        <f t="shared" si="9"/>
      </c>
      <c r="Z53" s="260">
        <f t="shared" si="10"/>
      </c>
      <c r="AA53" s="261">
        <f t="shared" si="11"/>
      </c>
      <c r="AB53" s="261">
        <f t="shared" si="12"/>
      </c>
      <c r="AC53" s="260">
        <f t="shared" si="13"/>
      </c>
      <c r="AD53" s="261">
        <f t="shared" si="14"/>
      </c>
      <c r="AE53" s="261">
        <f t="shared" si="15"/>
      </c>
      <c r="AF53" s="260">
        <f t="shared" si="16"/>
      </c>
      <c r="AG53" s="261">
        <f t="shared" si="17"/>
      </c>
      <c r="AH53" s="261">
        <f t="shared" si="18"/>
      </c>
      <c r="AI53" s="260">
        <f t="shared" si="19"/>
      </c>
      <c r="AJ53" s="261">
        <f t="shared" si="20"/>
      </c>
      <c r="AK53" s="261">
        <f t="shared" si="21"/>
      </c>
      <c r="AL53" s="260">
        <f t="shared" si="22"/>
      </c>
      <c r="AM53" s="261">
        <f t="shared" si="23"/>
      </c>
      <c r="AN53" s="261">
        <f t="shared" si="24"/>
      </c>
      <c r="AO53" s="260">
        <f t="shared" si="25"/>
      </c>
      <c r="AP53" s="261">
        <f t="shared" si="26"/>
      </c>
      <c r="AQ53" s="261">
        <f t="shared" si="27"/>
      </c>
      <c r="AS53" s="102" t="str">
        <f t="shared" si="28"/>
        <v>---</v>
      </c>
      <c r="AT53" s="123" t="str">
        <f t="shared" si="29"/>
        <v>---</v>
      </c>
      <c r="AX53" s="121">
        <f t="shared" si="30"/>
      </c>
    </row>
    <row r="54" spans="2:50" ht="12.75">
      <c r="B54" s="118"/>
      <c r="C54" s="122" t="s">
        <v>57</v>
      </c>
      <c r="D54" s="124">
        <f t="shared" si="32"/>
      </c>
      <c r="E54" s="86">
        <f>IF($AX$25="c",Tech!AM$25,"")</f>
      </c>
      <c r="F54" s="86">
        <f>IF($AX$25="c",Tech!AN$25,"")</f>
      </c>
      <c r="G54" s="86">
        <f>IF(AND(G$14&lt;&gt;"",$AX$25="c"),Tech!AO$25,"")</f>
      </c>
      <c r="H54" s="86">
        <f>IF(AND(H$14&lt;&gt;"",$AX$25="c"),Tech!AP$25,"")</f>
      </c>
      <c r="I54" s="86">
        <f>IF(AND(I$14&lt;&gt;"",$AX$25="c"),Tech!AQ$25,"")</f>
      </c>
      <c r="J54" s="86">
        <f>IF(AND(J$14&lt;&gt;"",$AX$25="c"),Tech!AR$25,"")</f>
      </c>
      <c r="K54" s="86">
        <f>IF(AND(K$14&lt;&gt;"",$AX$25="c"),Tech!AS$25,"")</f>
      </c>
      <c r="L54" s="86">
        <f>IF(AND(L$14&lt;&gt;"",$AX$25="c"),Tech!AT$25,"")</f>
      </c>
      <c r="M54" s="86">
        <f>IF(AND(M$14&lt;&gt;"",$AX$25="c"),Tech!AU$25,"")</f>
      </c>
      <c r="N54" s="86">
        <f>IF(AND(N$14&lt;&gt;"",$AX$25="c"),Tech!AV$25,"")</f>
      </c>
      <c r="P54" s="42">
        <f t="shared" si="31"/>
      </c>
      <c r="Q54" s="260">
        <f t="shared" si="1"/>
      </c>
      <c r="R54" s="261">
        <f t="shared" si="2"/>
      </c>
      <c r="S54" s="261">
        <f t="shared" si="3"/>
      </c>
      <c r="T54" s="260">
        <f t="shared" si="4"/>
      </c>
      <c r="U54" s="261">
        <f t="shared" si="5"/>
      </c>
      <c r="V54" s="261">
        <f t="shared" si="6"/>
      </c>
      <c r="W54" s="260">
        <f t="shared" si="7"/>
      </c>
      <c r="X54" s="261">
        <f t="shared" si="8"/>
      </c>
      <c r="Y54" s="261">
        <f t="shared" si="9"/>
      </c>
      <c r="Z54" s="260">
        <f t="shared" si="10"/>
      </c>
      <c r="AA54" s="261">
        <f t="shared" si="11"/>
      </c>
      <c r="AB54" s="261">
        <f t="shared" si="12"/>
      </c>
      <c r="AC54" s="260">
        <f t="shared" si="13"/>
      </c>
      <c r="AD54" s="261">
        <f t="shared" si="14"/>
      </c>
      <c r="AE54" s="261">
        <f t="shared" si="15"/>
      </c>
      <c r="AF54" s="260">
        <f t="shared" si="16"/>
      </c>
      <c r="AG54" s="261">
        <f t="shared" si="17"/>
      </c>
      <c r="AH54" s="261">
        <f t="shared" si="18"/>
      </c>
      <c r="AI54" s="260">
        <f t="shared" si="19"/>
      </c>
      <c r="AJ54" s="261">
        <f t="shared" si="20"/>
      </c>
      <c r="AK54" s="261">
        <f t="shared" si="21"/>
      </c>
      <c r="AL54" s="260">
        <f t="shared" si="22"/>
      </c>
      <c r="AM54" s="261">
        <f t="shared" si="23"/>
      </c>
      <c r="AN54" s="261">
        <f t="shared" si="24"/>
      </c>
      <c r="AO54" s="260">
        <f t="shared" si="25"/>
      </c>
      <c r="AP54" s="261">
        <f t="shared" si="26"/>
      </c>
      <c r="AQ54" s="261">
        <f t="shared" si="27"/>
      </c>
      <c r="AS54" s="102" t="str">
        <f t="shared" si="28"/>
        <v>---</v>
      </c>
      <c r="AT54" s="123" t="str">
        <f t="shared" si="29"/>
        <v>---</v>
      </c>
      <c r="AX54" s="121">
        <f t="shared" si="30"/>
      </c>
    </row>
    <row r="55" spans="2:50" ht="12.75">
      <c r="B55" s="118"/>
      <c r="C55" s="122" t="s">
        <v>58</v>
      </c>
      <c r="D55" s="124">
        <f t="shared" si="32"/>
      </c>
      <c r="E55" s="86">
        <f>IF($AX$25="c",Tech!AY$25,"")</f>
      </c>
      <c r="F55" s="86">
        <f>IF($AX$25="c",Tech!AZ$25,"")</f>
      </c>
      <c r="G55" s="86">
        <f>IF(AND(G$14&lt;&gt;"",$AX$25="c"),Tech!BA$25,"")</f>
      </c>
      <c r="H55" s="86">
        <f>IF(AND(H$14&lt;&gt;"",$AX$25="c"),Tech!BB$25,"")</f>
      </c>
      <c r="I55" s="86">
        <f>IF(AND(I$14&lt;&gt;"",$AX$25="c"),Tech!BC$25,"")</f>
      </c>
      <c r="J55" s="86">
        <f>IF(AND(J$14&lt;&gt;"",$AX$25="c"),Tech!BD$25,"")</f>
      </c>
      <c r="K55" s="86">
        <f>IF(AND(K$14&lt;&gt;"",$AX$25="c"),Tech!BE$25,"")</f>
      </c>
      <c r="L55" s="86">
        <f>IF(AND(L$14&lt;&gt;"",$AX$25="c"),Tech!BF$25,"")</f>
      </c>
      <c r="M55" s="86">
        <f>IF(AND(M$14&lt;&gt;"",$AX$25="c"),Tech!BG$25,"")</f>
      </c>
      <c r="N55" s="86">
        <f>IF(AND(N$14&lt;&gt;"",$AX$25="c"),Tech!BH$25,"")</f>
      </c>
      <c r="P55" s="42">
        <f t="shared" si="31"/>
      </c>
      <c r="Q55" s="260">
        <f t="shared" si="1"/>
      </c>
      <c r="R55" s="261">
        <f t="shared" si="2"/>
      </c>
      <c r="S55" s="261">
        <f t="shared" si="3"/>
      </c>
      <c r="T55" s="260">
        <f t="shared" si="4"/>
      </c>
      <c r="U55" s="261">
        <f t="shared" si="5"/>
      </c>
      <c r="V55" s="261">
        <f t="shared" si="6"/>
      </c>
      <c r="W55" s="260">
        <f t="shared" si="7"/>
      </c>
      <c r="X55" s="261">
        <f t="shared" si="8"/>
      </c>
      <c r="Y55" s="261">
        <f t="shared" si="9"/>
      </c>
      <c r="Z55" s="260">
        <f t="shared" si="10"/>
      </c>
      <c r="AA55" s="261">
        <f t="shared" si="11"/>
      </c>
      <c r="AB55" s="261">
        <f t="shared" si="12"/>
      </c>
      <c r="AC55" s="260">
        <f t="shared" si="13"/>
      </c>
      <c r="AD55" s="261">
        <f t="shared" si="14"/>
      </c>
      <c r="AE55" s="261">
        <f t="shared" si="15"/>
      </c>
      <c r="AF55" s="260">
        <f t="shared" si="16"/>
      </c>
      <c r="AG55" s="261">
        <f t="shared" si="17"/>
      </c>
      <c r="AH55" s="261">
        <f t="shared" si="18"/>
      </c>
      <c r="AI55" s="260">
        <f t="shared" si="19"/>
      </c>
      <c r="AJ55" s="261">
        <f t="shared" si="20"/>
      </c>
      <c r="AK55" s="261">
        <f t="shared" si="21"/>
      </c>
      <c r="AL55" s="260">
        <f t="shared" si="22"/>
      </c>
      <c r="AM55" s="261">
        <f t="shared" si="23"/>
      </c>
      <c r="AN55" s="261">
        <f t="shared" si="24"/>
      </c>
      <c r="AO55" s="260">
        <f t="shared" si="25"/>
      </c>
      <c r="AP55" s="261">
        <f t="shared" si="26"/>
      </c>
      <c r="AQ55" s="261">
        <f t="shared" si="27"/>
      </c>
      <c r="AS55" s="102" t="str">
        <f t="shared" si="28"/>
        <v>---</v>
      </c>
      <c r="AT55" s="123" t="str">
        <f t="shared" si="29"/>
        <v>---</v>
      </c>
      <c r="AX55" s="121">
        <f t="shared" si="30"/>
      </c>
    </row>
    <row r="56" spans="2:50" ht="12.75">
      <c r="B56" s="118" t="str">
        <f>AS26</f>
        <v>---</v>
      </c>
      <c r="C56" s="119" t="s">
        <v>55</v>
      </c>
      <c r="D56" s="124">
        <f t="shared" si="32"/>
      </c>
      <c r="E56" s="86">
        <f>IF($AX$26="b",Tech!O$26,"")</f>
      </c>
      <c r="F56" s="86">
        <f>IF($AX$26="b",Tech!P$26,"")</f>
      </c>
      <c r="G56" s="86">
        <f>IF(AND(G$14&lt;&gt;"",$AX$26="b"),Tech!Q$26,"")</f>
      </c>
      <c r="H56" s="86">
        <f>IF(AND(H$14&lt;&gt;"",$AX$26="b"),Tech!R$26,"")</f>
      </c>
      <c r="I56" s="86">
        <f>IF(AND(I$14&lt;&gt;"",$AX$26="b"),Tech!S$26,"")</f>
      </c>
      <c r="J56" s="86">
        <f>IF(AND(J$14&lt;&gt;"",$AX$26="b"),Tech!T$26,"")</f>
      </c>
      <c r="K56" s="86">
        <f>IF(AND(K$14&lt;&gt;"",$AX$26="b"),Tech!U$26,"")</f>
      </c>
      <c r="L56" s="86">
        <f>IF(AND(L$14&lt;&gt;"",$AX$26="b"),Tech!V$26,"")</f>
      </c>
      <c r="M56" s="86">
        <f>IF(AND(M$14&lt;&gt;"",$AX$26="b"),Tech!W$26,"")</f>
      </c>
      <c r="N56" s="86">
        <f>IF(AND(N$14&lt;&gt;"",$AX$26="b"),Tech!X$26,"")</f>
      </c>
      <c r="P56" s="42">
        <f t="shared" si="31"/>
      </c>
      <c r="Q56" s="260">
        <f t="shared" si="1"/>
      </c>
      <c r="R56" s="261">
        <f t="shared" si="2"/>
      </c>
      <c r="S56" s="261">
        <f t="shared" si="3"/>
      </c>
      <c r="T56" s="260">
        <f t="shared" si="4"/>
      </c>
      <c r="U56" s="261">
        <f t="shared" si="5"/>
      </c>
      <c r="V56" s="261">
        <f t="shared" si="6"/>
      </c>
      <c r="W56" s="260">
        <f t="shared" si="7"/>
      </c>
      <c r="X56" s="261">
        <f t="shared" si="8"/>
      </c>
      <c r="Y56" s="261">
        <f t="shared" si="9"/>
      </c>
      <c r="Z56" s="260">
        <f t="shared" si="10"/>
      </c>
      <c r="AA56" s="261">
        <f t="shared" si="11"/>
      </c>
      <c r="AB56" s="261">
        <f t="shared" si="12"/>
      </c>
      <c r="AC56" s="260">
        <f t="shared" si="13"/>
      </c>
      <c r="AD56" s="261">
        <f t="shared" si="14"/>
      </c>
      <c r="AE56" s="261">
        <f t="shared" si="15"/>
      </c>
      <c r="AF56" s="260">
        <f t="shared" si="16"/>
      </c>
      <c r="AG56" s="261">
        <f t="shared" si="17"/>
      </c>
      <c r="AH56" s="261">
        <f t="shared" si="18"/>
      </c>
      <c r="AI56" s="260">
        <f t="shared" si="19"/>
      </c>
      <c r="AJ56" s="261">
        <f t="shared" si="20"/>
      </c>
      <c r="AK56" s="261">
        <f t="shared" si="21"/>
      </c>
      <c r="AL56" s="260">
        <f t="shared" si="22"/>
      </c>
      <c r="AM56" s="261">
        <f t="shared" si="23"/>
      </c>
      <c r="AN56" s="261">
        <f t="shared" si="24"/>
      </c>
      <c r="AO56" s="260">
        <f t="shared" si="25"/>
      </c>
      <c r="AP56" s="261">
        <f t="shared" si="26"/>
      </c>
      <c r="AQ56" s="261">
        <f t="shared" si="27"/>
      </c>
      <c r="AS56" s="102" t="str">
        <f t="shared" si="28"/>
        <v>---</v>
      </c>
      <c r="AT56" s="123" t="str">
        <f t="shared" si="29"/>
        <v>---</v>
      </c>
      <c r="AX56" s="121">
        <f t="shared" si="30"/>
      </c>
    </row>
    <row r="57" spans="2:50" ht="12.75">
      <c r="B57" s="118"/>
      <c r="C57" s="122" t="s">
        <v>56</v>
      </c>
      <c r="D57" s="124">
        <f t="shared" si="32"/>
      </c>
      <c r="E57" s="86">
        <f>IF($AX$26="c",Tech!AA$26,"")</f>
      </c>
      <c r="F57" s="86">
        <f>IF($AX$26="c",Tech!AB$26,"")</f>
      </c>
      <c r="G57" s="86">
        <f>IF(AND(G$14&lt;&gt;"",$AX$26="c"),Tech!AC$26,"")</f>
      </c>
      <c r="H57" s="86">
        <f>IF(AND(H$14&lt;&gt;"",$AX$26="c"),Tech!AD$26,"")</f>
      </c>
      <c r="I57" s="86">
        <f>IF(AND(I$14&lt;&gt;"",$AX$26="c"),Tech!AE$26,"")</f>
      </c>
      <c r="J57" s="86">
        <f>IF(AND(J$14&lt;&gt;"",$AX$26="c"),Tech!AF$26,"")</f>
      </c>
      <c r="K57" s="86">
        <f>IF(AND(K$14&lt;&gt;"",$AX$26="c"),Tech!AG$26,"")</f>
      </c>
      <c r="L57" s="86">
        <f>IF(AND(L$14&lt;&gt;"",$AX$26="c"),Tech!AH$26,"")</f>
      </c>
      <c r="M57" s="86">
        <f>IF(AND(M$14&lt;&gt;"",$AX$26="c"),Tech!AI$26,"")</f>
      </c>
      <c r="N57" s="86">
        <f>IF(AND(N$14&lt;&gt;"",$AX$26="c"),Tech!AJ$26,"")</f>
      </c>
      <c r="P57" s="42">
        <f t="shared" si="31"/>
      </c>
      <c r="Q57" s="260">
        <f t="shared" si="1"/>
      </c>
      <c r="R57" s="261">
        <f t="shared" si="2"/>
      </c>
      <c r="S57" s="261">
        <f t="shared" si="3"/>
      </c>
      <c r="T57" s="260">
        <f t="shared" si="4"/>
      </c>
      <c r="U57" s="261">
        <f t="shared" si="5"/>
      </c>
      <c r="V57" s="261">
        <f t="shared" si="6"/>
      </c>
      <c r="W57" s="260">
        <f t="shared" si="7"/>
      </c>
      <c r="X57" s="261">
        <f t="shared" si="8"/>
      </c>
      <c r="Y57" s="261">
        <f t="shared" si="9"/>
      </c>
      <c r="Z57" s="260">
        <f t="shared" si="10"/>
      </c>
      <c r="AA57" s="261">
        <f t="shared" si="11"/>
      </c>
      <c r="AB57" s="261">
        <f t="shared" si="12"/>
      </c>
      <c r="AC57" s="260">
        <f t="shared" si="13"/>
      </c>
      <c r="AD57" s="261">
        <f t="shared" si="14"/>
      </c>
      <c r="AE57" s="261">
        <f t="shared" si="15"/>
      </c>
      <c r="AF57" s="260">
        <f t="shared" si="16"/>
      </c>
      <c r="AG57" s="261">
        <f t="shared" si="17"/>
      </c>
      <c r="AH57" s="261">
        <f t="shared" si="18"/>
      </c>
      <c r="AI57" s="260">
        <f t="shared" si="19"/>
      </c>
      <c r="AJ57" s="261">
        <f t="shared" si="20"/>
      </c>
      <c r="AK57" s="261">
        <f t="shared" si="21"/>
      </c>
      <c r="AL57" s="260">
        <f t="shared" si="22"/>
      </c>
      <c r="AM57" s="261">
        <f t="shared" si="23"/>
      </c>
      <c r="AN57" s="261">
        <f t="shared" si="24"/>
      </c>
      <c r="AO57" s="260">
        <f t="shared" si="25"/>
      </c>
      <c r="AP57" s="261">
        <f t="shared" si="26"/>
      </c>
      <c r="AQ57" s="261">
        <f t="shared" si="27"/>
      </c>
      <c r="AS57" s="102" t="str">
        <f t="shared" si="28"/>
        <v>---</v>
      </c>
      <c r="AT57" s="123" t="str">
        <f t="shared" si="29"/>
        <v>---</v>
      </c>
      <c r="AX57" s="121">
        <f t="shared" si="30"/>
      </c>
    </row>
    <row r="58" spans="2:50" ht="12.75">
      <c r="B58" s="118"/>
      <c r="C58" s="122" t="s">
        <v>57</v>
      </c>
      <c r="D58" s="124">
        <f t="shared" si="32"/>
      </c>
      <c r="E58" s="86">
        <f>IF($AX$26="c",Tech!AM$26,"")</f>
      </c>
      <c r="F58" s="86">
        <f>IF($AX$26="c",Tech!AN$26,"")</f>
      </c>
      <c r="G58" s="86">
        <f>IF(AND(G$14&lt;&gt;"",$AX$26="c"),Tech!AO$26,"")</f>
      </c>
      <c r="H58" s="86">
        <f>IF(AND(H$14&lt;&gt;"",$AX$26="c"),Tech!AP$26,"")</f>
      </c>
      <c r="I58" s="86">
        <f>IF(AND(I$14&lt;&gt;"",$AX$26="c"),Tech!AQ$26,"")</f>
      </c>
      <c r="J58" s="86">
        <f>IF(AND(J$14&lt;&gt;"",$AX$26="c"),Tech!AR$26,"")</f>
      </c>
      <c r="K58" s="86">
        <f>IF(AND(K$14&lt;&gt;"",$AX$26="c"),Tech!AS$26,"")</f>
      </c>
      <c r="L58" s="86">
        <f>IF(AND(L$14&lt;&gt;"",$AX$26="c"),Tech!AT$26,"")</f>
      </c>
      <c r="M58" s="86">
        <f>IF(AND(M$14&lt;&gt;"",$AX$26="c"),Tech!AU$26,"")</f>
      </c>
      <c r="N58" s="86">
        <f>IF(AND(N$14&lt;&gt;"",$AX$26="c"),Tech!AV$26,"")</f>
      </c>
      <c r="P58" s="42">
        <f t="shared" si="31"/>
      </c>
      <c r="Q58" s="260">
        <f t="shared" si="1"/>
      </c>
      <c r="R58" s="261">
        <f t="shared" si="2"/>
      </c>
      <c r="S58" s="261">
        <f t="shared" si="3"/>
      </c>
      <c r="T58" s="260">
        <f t="shared" si="4"/>
      </c>
      <c r="U58" s="261">
        <f t="shared" si="5"/>
      </c>
      <c r="V58" s="261">
        <f t="shared" si="6"/>
      </c>
      <c r="W58" s="260">
        <f t="shared" si="7"/>
      </c>
      <c r="X58" s="261">
        <f t="shared" si="8"/>
      </c>
      <c r="Y58" s="261">
        <f t="shared" si="9"/>
      </c>
      <c r="Z58" s="260">
        <f t="shared" si="10"/>
      </c>
      <c r="AA58" s="261">
        <f t="shared" si="11"/>
      </c>
      <c r="AB58" s="261">
        <f t="shared" si="12"/>
      </c>
      <c r="AC58" s="260">
        <f t="shared" si="13"/>
      </c>
      <c r="AD58" s="261">
        <f t="shared" si="14"/>
      </c>
      <c r="AE58" s="261">
        <f t="shared" si="15"/>
      </c>
      <c r="AF58" s="260">
        <f t="shared" si="16"/>
      </c>
      <c r="AG58" s="261">
        <f t="shared" si="17"/>
      </c>
      <c r="AH58" s="261">
        <f t="shared" si="18"/>
      </c>
      <c r="AI58" s="260">
        <f t="shared" si="19"/>
      </c>
      <c r="AJ58" s="261">
        <f t="shared" si="20"/>
      </c>
      <c r="AK58" s="261">
        <f t="shared" si="21"/>
      </c>
      <c r="AL58" s="260">
        <f t="shared" si="22"/>
      </c>
      <c r="AM58" s="261">
        <f t="shared" si="23"/>
      </c>
      <c r="AN58" s="261">
        <f t="shared" si="24"/>
      </c>
      <c r="AO58" s="260">
        <f t="shared" si="25"/>
      </c>
      <c r="AP58" s="261">
        <f t="shared" si="26"/>
      </c>
      <c r="AQ58" s="261">
        <f t="shared" si="27"/>
      </c>
      <c r="AS58" s="102" t="str">
        <f t="shared" si="28"/>
        <v>---</v>
      </c>
      <c r="AT58" s="123" t="str">
        <f t="shared" si="29"/>
        <v>---</v>
      </c>
      <c r="AX58" s="121">
        <f t="shared" si="30"/>
      </c>
    </row>
    <row r="59" spans="2:50" ht="12.75">
      <c r="B59" s="118"/>
      <c r="C59" s="122" t="s">
        <v>58</v>
      </c>
      <c r="D59" s="124">
        <f t="shared" si="32"/>
      </c>
      <c r="E59" s="86">
        <f>IF($AX$26="c",Tech!AY$26,"")</f>
      </c>
      <c r="F59" s="86">
        <f>IF($AX$26="c",Tech!AZ$26,"")</f>
      </c>
      <c r="G59" s="86">
        <f>IF(AND(G$14&lt;&gt;"",$AX$26="c"),Tech!BA$26,"")</f>
      </c>
      <c r="H59" s="86">
        <f>IF(AND(H$14&lt;&gt;"",$AX$26="c"),Tech!BB$26,"")</f>
      </c>
      <c r="I59" s="86">
        <f>IF(AND(I$14&lt;&gt;"",$AX$26="c"),Tech!BC$26,"")</f>
      </c>
      <c r="J59" s="86">
        <f>IF(AND(J$14&lt;&gt;"",$AX$26="c"),Tech!BD$26,"")</f>
      </c>
      <c r="K59" s="86">
        <f>IF(AND(K$14&lt;&gt;"",$AX$26="c"),Tech!BE$26,"")</f>
      </c>
      <c r="L59" s="86">
        <f>IF(AND(L$14&lt;&gt;"",$AX$26="c"),Tech!BF$26,"")</f>
      </c>
      <c r="M59" s="86">
        <f>IF(AND(M$14&lt;&gt;"",$AX$26="c"),Tech!BG$26,"")</f>
      </c>
      <c r="N59" s="86">
        <f>IF(AND(N$14&lt;&gt;"",$AX$26="c"),Tech!BH$26,"")</f>
      </c>
      <c r="P59" s="42">
        <f t="shared" si="31"/>
      </c>
      <c r="Q59" s="260">
        <f t="shared" si="1"/>
      </c>
      <c r="R59" s="261">
        <f t="shared" si="2"/>
      </c>
      <c r="S59" s="261">
        <f t="shared" si="3"/>
      </c>
      <c r="T59" s="260">
        <f t="shared" si="4"/>
      </c>
      <c r="U59" s="261">
        <f t="shared" si="5"/>
      </c>
      <c r="V59" s="261">
        <f t="shared" si="6"/>
      </c>
      <c r="W59" s="260">
        <f t="shared" si="7"/>
      </c>
      <c r="X59" s="261">
        <f t="shared" si="8"/>
      </c>
      <c r="Y59" s="261">
        <f t="shared" si="9"/>
      </c>
      <c r="Z59" s="260">
        <f t="shared" si="10"/>
      </c>
      <c r="AA59" s="261">
        <f t="shared" si="11"/>
      </c>
      <c r="AB59" s="261">
        <f t="shared" si="12"/>
      </c>
      <c r="AC59" s="260">
        <f t="shared" si="13"/>
      </c>
      <c r="AD59" s="261">
        <f t="shared" si="14"/>
      </c>
      <c r="AE59" s="261">
        <f t="shared" si="15"/>
      </c>
      <c r="AF59" s="260">
        <f t="shared" si="16"/>
      </c>
      <c r="AG59" s="261">
        <f t="shared" si="17"/>
      </c>
      <c r="AH59" s="261">
        <f t="shared" si="18"/>
      </c>
      <c r="AI59" s="260">
        <f t="shared" si="19"/>
      </c>
      <c r="AJ59" s="261">
        <f t="shared" si="20"/>
      </c>
      <c r="AK59" s="261">
        <f t="shared" si="21"/>
      </c>
      <c r="AL59" s="260">
        <f t="shared" si="22"/>
      </c>
      <c r="AM59" s="261">
        <f t="shared" si="23"/>
      </c>
      <c r="AN59" s="261">
        <f t="shared" si="24"/>
      </c>
      <c r="AO59" s="260">
        <f t="shared" si="25"/>
      </c>
      <c r="AP59" s="261">
        <f t="shared" si="26"/>
      </c>
      <c r="AQ59" s="261">
        <f t="shared" si="27"/>
      </c>
      <c r="AS59" s="102" t="str">
        <f t="shared" si="28"/>
        <v>---</v>
      </c>
      <c r="AT59" s="123" t="str">
        <f t="shared" si="29"/>
        <v>---</v>
      </c>
      <c r="AX59" s="121">
        <f t="shared" si="30"/>
      </c>
    </row>
    <row r="60" spans="2:50" ht="12.75">
      <c r="B60" s="118" t="str">
        <f>AS27</f>
        <v>---</v>
      </c>
      <c r="C60" s="119" t="s">
        <v>55</v>
      </c>
      <c r="D60" s="124">
        <f t="shared" si="32"/>
      </c>
      <c r="E60" s="86">
        <f>IF($AX$27="b",Tech!O$27,"")</f>
      </c>
      <c r="F60" s="86">
        <f>IF($AX$27="b",Tech!P$27,"")</f>
      </c>
      <c r="G60" s="86">
        <f>IF(AND(G$14&lt;&gt;"",$AX$27="b"),Tech!Q$27,"")</f>
      </c>
      <c r="H60" s="86">
        <f>IF(AND(H$14&lt;&gt;"",$AX$27="b"),Tech!R$27,"")</f>
      </c>
      <c r="I60" s="86">
        <f>IF(AND(I$14&lt;&gt;"",$AX$27="b"),Tech!S$27,"")</f>
      </c>
      <c r="J60" s="86">
        <f>IF(AND(J$14&lt;&gt;"",$AX$27="b"),Tech!T$27,"")</f>
      </c>
      <c r="K60" s="86">
        <f>IF(AND(K$14&lt;&gt;"",$AX$27="b"),Tech!U$27,"")</f>
      </c>
      <c r="L60" s="86">
        <f>IF(AND(L$14&lt;&gt;"",$AX$27="b"),Tech!V$27,"")</f>
      </c>
      <c r="M60" s="86">
        <f>IF(AND(M$14&lt;&gt;"",$AX$27="b"),Tech!W$27,"")</f>
      </c>
      <c r="N60" s="86">
        <f>IF(AND(N$14&lt;&gt;"",$AX$27="b"),Tech!X$27,"")</f>
      </c>
      <c r="P60" s="42">
        <f t="shared" si="31"/>
      </c>
      <c r="Q60" s="260">
        <f t="shared" si="1"/>
      </c>
      <c r="R60" s="261">
        <f t="shared" si="2"/>
      </c>
      <c r="S60" s="261">
        <f t="shared" si="3"/>
      </c>
      <c r="T60" s="260">
        <f t="shared" si="4"/>
      </c>
      <c r="U60" s="261">
        <f t="shared" si="5"/>
      </c>
      <c r="V60" s="261">
        <f t="shared" si="6"/>
      </c>
      <c r="W60" s="260">
        <f t="shared" si="7"/>
      </c>
      <c r="X60" s="261">
        <f t="shared" si="8"/>
      </c>
      <c r="Y60" s="261">
        <f t="shared" si="9"/>
      </c>
      <c r="Z60" s="260">
        <f t="shared" si="10"/>
      </c>
      <c r="AA60" s="261">
        <f t="shared" si="11"/>
      </c>
      <c r="AB60" s="261">
        <f t="shared" si="12"/>
      </c>
      <c r="AC60" s="260">
        <f t="shared" si="13"/>
      </c>
      <c r="AD60" s="261">
        <f t="shared" si="14"/>
      </c>
      <c r="AE60" s="261">
        <f t="shared" si="15"/>
      </c>
      <c r="AF60" s="260">
        <f t="shared" si="16"/>
      </c>
      <c r="AG60" s="261">
        <f t="shared" si="17"/>
      </c>
      <c r="AH60" s="261">
        <f t="shared" si="18"/>
      </c>
      <c r="AI60" s="260">
        <f t="shared" si="19"/>
      </c>
      <c r="AJ60" s="261">
        <f t="shared" si="20"/>
      </c>
      <c r="AK60" s="261">
        <f t="shared" si="21"/>
      </c>
      <c r="AL60" s="260">
        <f t="shared" si="22"/>
      </c>
      <c r="AM60" s="261">
        <f t="shared" si="23"/>
      </c>
      <c r="AN60" s="261">
        <f t="shared" si="24"/>
      </c>
      <c r="AO60" s="260">
        <f t="shared" si="25"/>
      </c>
      <c r="AP60" s="261">
        <f t="shared" si="26"/>
      </c>
      <c r="AQ60" s="261">
        <f t="shared" si="27"/>
      </c>
      <c r="AS60" s="102" t="str">
        <f t="shared" si="28"/>
        <v>---</v>
      </c>
      <c r="AT60" s="123" t="str">
        <f t="shared" si="29"/>
        <v>---</v>
      </c>
      <c r="AX60" s="121">
        <f t="shared" si="30"/>
      </c>
    </row>
    <row r="61" spans="3:50" ht="12.75">
      <c r="C61" s="122" t="s">
        <v>56</v>
      </c>
      <c r="D61" s="124">
        <f t="shared" si="32"/>
      </c>
      <c r="E61" s="86">
        <f>IF($AX$27="c",Tech!AA$27,"")</f>
      </c>
      <c r="F61" s="86">
        <f>IF($AX$27="c",Tech!AB$27,"")</f>
      </c>
      <c r="G61" s="86">
        <f>IF(AND(G$14&lt;&gt;"",$AX$27="c"),Tech!AC$27,"")</f>
      </c>
      <c r="H61" s="86">
        <f>IF(AND(H$14&lt;&gt;"",$AX$27="c"),Tech!AD$27,"")</f>
      </c>
      <c r="I61" s="86">
        <f>IF(AND(I$14&lt;&gt;"",$AX$27="c"),Tech!AE$27,"")</f>
      </c>
      <c r="J61" s="86">
        <f>IF(AND(J$14&lt;&gt;"",$AX$27="c"),Tech!AF$27,"")</f>
      </c>
      <c r="K61" s="86">
        <f>IF(AND(K$14&lt;&gt;"",$AX$27="c"),Tech!AG$27,"")</f>
      </c>
      <c r="L61" s="86">
        <f>IF(AND(L$14&lt;&gt;"",$AX$27="c"),Tech!AH$27,"")</f>
      </c>
      <c r="M61" s="86">
        <f>IF(AND(M$14&lt;&gt;"",$AX$27="c"),Tech!AI$27,"")</f>
      </c>
      <c r="N61" s="86">
        <f>IF(AND(N$14&lt;&gt;"",$AX$27="c"),Tech!AJ$27,"")</f>
      </c>
      <c r="P61" s="42">
        <f t="shared" si="31"/>
      </c>
      <c r="Q61" s="260">
        <f t="shared" si="1"/>
      </c>
      <c r="R61" s="261">
        <f t="shared" si="2"/>
      </c>
      <c r="S61" s="261">
        <f t="shared" si="3"/>
      </c>
      <c r="T61" s="260">
        <f t="shared" si="4"/>
      </c>
      <c r="U61" s="261">
        <f t="shared" si="5"/>
      </c>
      <c r="V61" s="261">
        <f t="shared" si="6"/>
      </c>
      <c r="W61" s="260">
        <f t="shared" si="7"/>
      </c>
      <c r="X61" s="261">
        <f t="shared" si="8"/>
      </c>
      <c r="Y61" s="261">
        <f t="shared" si="9"/>
      </c>
      <c r="Z61" s="260">
        <f t="shared" si="10"/>
      </c>
      <c r="AA61" s="261">
        <f t="shared" si="11"/>
      </c>
      <c r="AB61" s="261">
        <f t="shared" si="12"/>
      </c>
      <c r="AC61" s="260">
        <f t="shared" si="13"/>
      </c>
      <c r="AD61" s="261">
        <f t="shared" si="14"/>
      </c>
      <c r="AE61" s="261">
        <f t="shared" si="15"/>
      </c>
      <c r="AF61" s="260">
        <f t="shared" si="16"/>
      </c>
      <c r="AG61" s="261">
        <f t="shared" si="17"/>
      </c>
      <c r="AH61" s="261">
        <f t="shared" si="18"/>
      </c>
      <c r="AI61" s="260">
        <f t="shared" si="19"/>
      </c>
      <c r="AJ61" s="261">
        <f t="shared" si="20"/>
      </c>
      <c r="AK61" s="261">
        <f t="shared" si="21"/>
      </c>
      <c r="AL61" s="260">
        <f t="shared" si="22"/>
      </c>
      <c r="AM61" s="261">
        <f t="shared" si="23"/>
      </c>
      <c r="AN61" s="261">
        <f t="shared" si="24"/>
      </c>
      <c r="AO61" s="260">
        <f t="shared" si="25"/>
      </c>
      <c r="AP61" s="261">
        <f t="shared" si="26"/>
      </c>
      <c r="AQ61" s="261">
        <f t="shared" si="27"/>
      </c>
      <c r="AS61" s="102" t="str">
        <f t="shared" si="28"/>
        <v>---</v>
      </c>
      <c r="AT61" s="123" t="str">
        <f t="shared" si="29"/>
        <v>---</v>
      </c>
      <c r="AX61" s="121">
        <f t="shared" si="30"/>
      </c>
    </row>
    <row r="62" spans="2:50" ht="12.75">
      <c r="B62" s="118"/>
      <c r="C62" s="122" t="s">
        <v>57</v>
      </c>
      <c r="D62" s="124">
        <f t="shared" si="32"/>
      </c>
      <c r="E62" s="86">
        <f>IF($AX$27="c",Tech!AM$27,"")</f>
      </c>
      <c r="F62" s="86">
        <f>IF($AX$27="c",Tech!AN$27,"")</f>
      </c>
      <c r="G62" s="86">
        <f>IF(AND(G$14&lt;&gt;"",$AX$27="c"),Tech!AO$27,"")</f>
      </c>
      <c r="H62" s="86">
        <f>IF(AND(H$14&lt;&gt;"",$AX$27="c"),Tech!AP$27,"")</f>
      </c>
      <c r="I62" s="86">
        <f>IF(AND(I$14&lt;&gt;"",$AX$27="c"),Tech!AQ$27,"")</f>
      </c>
      <c r="J62" s="86">
        <f>IF(AND(J$14&lt;&gt;"",$AX$27="c"),Tech!AR$27,"")</f>
      </c>
      <c r="K62" s="86">
        <f>IF(AND(K$14&lt;&gt;"",$AX$27="c"),Tech!AS$27,"")</f>
      </c>
      <c r="L62" s="86">
        <f>IF(AND(L$14&lt;&gt;"",$AX$27="c"),Tech!AT$27,"")</f>
      </c>
      <c r="M62" s="86">
        <f>IF(AND(M$14&lt;&gt;"",$AX$27="c"),Tech!AU$27,"")</f>
      </c>
      <c r="N62" s="86">
        <f>IF(AND(N$14&lt;&gt;"",$AX$27="c"),Tech!AV$27,"")</f>
      </c>
      <c r="P62" s="42">
        <f t="shared" si="31"/>
      </c>
      <c r="Q62" s="260">
        <f t="shared" si="1"/>
      </c>
      <c r="R62" s="261">
        <f t="shared" si="2"/>
      </c>
      <c r="S62" s="261">
        <f t="shared" si="3"/>
      </c>
      <c r="T62" s="260">
        <f t="shared" si="4"/>
      </c>
      <c r="U62" s="261">
        <f t="shared" si="5"/>
      </c>
      <c r="V62" s="261">
        <f t="shared" si="6"/>
      </c>
      <c r="W62" s="260">
        <f t="shared" si="7"/>
      </c>
      <c r="X62" s="261">
        <f t="shared" si="8"/>
      </c>
      <c r="Y62" s="261">
        <f t="shared" si="9"/>
      </c>
      <c r="Z62" s="260">
        <f t="shared" si="10"/>
      </c>
      <c r="AA62" s="261">
        <f t="shared" si="11"/>
      </c>
      <c r="AB62" s="261">
        <f t="shared" si="12"/>
      </c>
      <c r="AC62" s="260">
        <f t="shared" si="13"/>
      </c>
      <c r="AD62" s="261">
        <f t="shared" si="14"/>
      </c>
      <c r="AE62" s="261">
        <f t="shared" si="15"/>
      </c>
      <c r="AF62" s="260">
        <f t="shared" si="16"/>
      </c>
      <c r="AG62" s="261">
        <f t="shared" si="17"/>
      </c>
      <c r="AH62" s="261">
        <f t="shared" si="18"/>
      </c>
      <c r="AI62" s="260">
        <f t="shared" si="19"/>
      </c>
      <c r="AJ62" s="261">
        <f t="shared" si="20"/>
      </c>
      <c r="AK62" s="261">
        <f t="shared" si="21"/>
      </c>
      <c r="AL62" s="260">
        <f t="shared" si="22"/>
      </c>
      <c r="AM62" s="261">
        <f t="shared" si="23"/>
      </c>
      <c r="AN62" s="261">
        <f t="shared" si="24"/>
      </c>
      <c r="AO62" s="260">
        <f t="shared" si="25"/>
      </c>
      <c r="AP62" s="261">
        <f t="shared" si="26"/>
      </c>
      <c r="AQ62" s="261">
        <f t="shared" si="27"/>
      </c>
      <c r="AS62" s="102" t="str">
        <f t="shared" si="28"/>
        <v>---</v>
      </c>
      <c r="AT62" s="123" t="str">
        <f t="shared" si="29"/>
        <v>---</v>
      </c>
      <c r="AX62" s="121">
        <f t="shared" si="30"/>
      </c>
    </row>
    <row r="63" spans="2:50" ht="12.75">
      <c r="B63" s="118"/>
      <c r="C63" s="122" t="s">
        <v>58</v>
      </c>
      <c r="D63" s="124">
        <f t="shared" si="32"/>
      </c>
      <c r="E63" s="86">
        <f>IF($AX$27="c",Tech!AY$27,"")</f>
      </c>
      <c r="F63" s="86">
        <f>IF($AX$27="c",Tech!AZ$27,"")</f>
      </c>
      <c r="G63" s="86">
        <f>IF(AND(G$14&lt;&gt;"",$AX$27="c"),Tech!BA$27,"")</f>
      </c>
      <c r="H63" s="86">
        <f>IF(AND(H$14&lt;&gt;"",$AX$27="c"),Tech!BB$27,"")</f>
      </c>
      <c r="I63" s="86">
        <f>IF(AND(I$14&lt;&gt;"",$AX$27="c"),Tech!BC$27,"")</f>
      </c>
      <c r="J63" s="86">
        <f>IF(AND(J$14&lt;&gt;"",$AX$27="c"),Tech!BD$27,"")</f>
      </c>
      <c r="K63" s="86">
        <f>IF(AND(K$14&lt;&gt;"",$AX$27="c"),Tech!BE$27,"")</f>
      </c>
      <c r="L63" s="86">
        <f>IF(AND(L$14&lt;&gt;"",$AX$27="c"),Tech!BF$27,"")</f>
      </c>
      <c r="M63" s="86">
        <f>IF(AND(M$14&lt;&gt;"",$AX$27="c"),Tech!BG$27,"")</f>
      </c>
      <c r="N63" s="86">
        <f>IF(AND(N$14&lt;&gt;"",$AX$27="c"),Tech!BH$27,"")</f>
      </c>
      <c r="P63" s="42">
        <f t="shared" si="31"/>
      </c>
      <c r="Q63" s="260">
        <f t="shared" si="1"/>
      </c>
      <c r="R63" s="261">
        <f t="shared" si="2"/>
      </c>
      <c r="S63" s="261">
        <f t="shared" si="3"/>
      </c>
      <c r="T63" s="260">
        <f t="shared" si="4"/>
      </c>
      <c r="U63" s="261">
        <f t="shared" si="5"/>
      </c>
      <c r="V63" s="261">
        <f t="shared" si="6"/>
      </c>
      <c r="W63" s="260">
        <f t="shared" si="7"/>
      </c>
      <c r="X63" s="261">
        <f t="shared" si="8"/>
      </c>
      <c r="Y63" s="261">
        <f t="shared" si="9"/>
      </c>
      <c r="Z63" s="260">
        <f t="shared" si="10"/>
      </c>
      <c r="AA63" s="261">
        <f t="shared" si="11"/>
      </c>
      <c r="AB63" s="261">
        <f t="shared" si="12"/>
      </c>
      <c r="AC63" s="260">
        <f t="shared" si="13"/>
      </c>
      <c r="AD63" s="261">
        <f t="shared" si="14"/>
      </c>
      <c r="AE63" s="261">
        <f t="shared" si="15"/>
      </c>
      <c r="AF63" s="260">
        <f t="shared" si="16"/>
      </c>
      <c r="AG63" s="261">
        <f t="shared" si="17"/>
      </c>
      <c r="AH63" s="261">
        <f t="shared" si="18"/>
      </c>
      <c r="AI63" s="260">
        <f t="shared" si="19"/>
      </c>
      <c r="AJ63" s="261">
        <f t="shared" si="20"/>
      </c>
      <c r="AK63" s="261">
        <f t="shared" si="21"/>
      </c>
      <c r="AL63" s="260">
        <f t="shared" si="22"/>
      </c>
      <c r="AM63" s="261">
        <f t="shared" si="23"/>
      </c>
      <c r="AN63" s="261">
        <f t="shared" si="24"/>
      </c>
      <c r="AO63" s="260">
        <f t="shared" si="25"/>
      </c>
      <c r="AP63" s="261">
        <f t="shared" si="26"/>
      </c>
      <c r="AQ63" s="261">
        <f t="shared" si="27"/>
      </c>
      <c r="AS63" s="102" t="str">
        <f t="shared" si="28"/>
        <v>---</v>
      </c>
      <c r="AT63" s="123" t="str">
        <f t="shared" si="29"/>
        <v>---</v>
      </c>
      <c r="AX63" s="121">
        <f t="shared" si="30"/>
      </c>
    </row>
    <row r="64" spans="2:50" ht="12.75">
      <c r="B64" s="118" t="str">
        <f>AS28</f>
        <v>---</v>
      </c>
      <c r="C64" s="119" t="s">
        <v>55</v>
      </c>
      <c r="D64" s="124">
        <f t="shared" si="32"/>
      </c>
      <c r="E64" s="86">
        <f>IF($AX$28="b",Tech!O$28,"")</f>
      </c>
      <c r="F64" s="86">
        <f>IF($AX$28="b",Tech!P$28,"")</f>
      </c>
      <c r="G64" s="86">
        <f>IF(AND(G$14&lt;&gt;"",$AX$28="b"),Tech!Q$28,"")</f>
      </c>
      <c r="H64" s="86">
        <f>IF(AND(H$14&lt;&gt;"",$AX$28="b"),Tech!R$28,"")</f>
      </c>
      <c r="I64" s="86">
        <f>IF(AND(I$14&lt;&gt;"",$AX$28="b"),Tech!S$28,"")</f>
      </c>
      <c r="J64" s="86">
        <f>IF(AND(J$14&lt;&gt;"",$AX$28="b"),Tech!T$28,"")</f>
      </c>
      <c r="K64" s="86">
        <f>IF(AND(K$14&lt;&gt;"",$AX$28="b"),Tech!U$28,"")</f>
      </c>
      <c r="L64" s="86">
        <f>IF(AND(L$14&lt;&gt;"",$AX$28="b"),Tech!V$28,"")</f>
      </c>
      <c r="M64" s="86">
        <f>IF(AND(M$14&lt;&gt;"",$AX$28="b"),Tech!W$28,"")</f>
      </c>
      <c r="N64" s="86">
        <f>IF(AND(N$14&lt;&gt;"",$AX$28="b"),Tech!X$28,"")</f>
      </c>
      <c r="P64" s="42">
        <f t="shared" si="31"/>
      </c>
      <c r="Q64" s="260">
        <f t="shared" si="1"/>
      </c>
      <c r="R64" s="261">
        <f t="shared" si="2"/>
      </c>
      <c r="S64" s="261">
        <f t="shared" si="3"/>
      </c>
      <c r="T64" s="260">
        <f t="shared" si="4"/>
      </c>
      <c r="U64" s="261">
        <f t="shared" si="5"/>
      </c>
      <c r="V64" s="261">
        <f t="shared" si="6"/>
      </c>
      <c r="W64" s="260">
        <f t="shared" si="7"/>
      </c>
      <c r="X64" s="261">
        <f t="shared" si="8"/>
      </c>
      <c r="Y64" s="261">
        <f t="shared" si="9"/>
      </c>
      <c r="Z64" s="260">
        <f t="shared" si="10"/>
      </c>
      <c r="AA64" s="261">
        <f t="shared" si="11"/>
      </c>
      <c r="AB64" s="261">
        <f t="shared" si="12"/>
      </c>
      <c r="AC64" s="260">
        <f t="shared" si="13"/>
      </c>
      <c r="AD64" s="261">
        <f t="shared" si="14"/>
      </c>
      <c r="AE64" s="261">
        <f t="shared" si="15"/>
      </c>
      <c r="AF64" s="260">
        <f t="shared" si="16"/>
      </c>
      <c r="AG64" s="261">
        <f t="shared" si="17"/>
      </c>
      <c r="AH64" s="261">
        <f t="shared" si="18"/>
      </c>
      <c r="AI64" s="260">
        <f t="shared" si="19"/>
      </c>
      <c r="AJ64" s="261">
        <f t="shared" si="20"/>
      </c>
      <c r="AK64" s="261">
        <f t="shared" si="21"/>
      </c>
      <c r="AL64" s="260">
        <f t="shared" si="22"/>
      </c>
      <c r="AM64" s="261">
        <f t="shared" si="23"/>
      </c>
      <c r="AN64" s="261">
        <f t="shared" si="24"/>
      </c>
      <c r="AO64" s="260">
        <f t="shared" si="25"/>
      </c>
      <c r="AP64" s="261">
        <f t="shared" si="26"/>
      </c>
      <c r="AQ64" s="261">
        <f t="shared" si="27"/>
      </c>
      <c r="AS64" s="102" t="str">
        <f t="shared" si="28"/>
        <v>---</v>
      </c>
      <c r="AT64" s="123" t="str">
        <f t="shared" si="29"/>
        <v>---</v>
      </c>
      <c r="AX64" s="121">
        <f t="shared" si="30"/>
      </c>
    </row>
    <row r="65" spans="2:50" ht="12.75">
      <c r="B65" s="118"/>
      <c r="C65" s="122" t="s">
        <v>56</v>
      </c>
      <c r="D65" s="124">
        <f t="shared" si="32"/>
      </c>
      <c r="E65" s="86">
        <f>IF($AX$28="c",Tech!AA$28,"")</f>
      </c>
      <c r="F65" s="86">
        <f>IF($AX$28="c",Tech!AB$28,"")</f>
      </c>
      <c r="G65" s="86">
        <f>IF(AND(G$14&lt;&gt;"",$AX$28="c"),Tech!AC$28,"")</f>
      </c>
      <c r="H65" s="86">
        <f>IF(AND(H$14&lt;&gt;"",$AX$28="c"),Tech!AD$28,"")</f>
      </c>
      <c r="I65" s="86">
        <f>IF(AND(I$14&lt;&gt;"",$AX$28="c"),Tech!AE$28,"")</f>
      </c>
      <c r="J65" s="86">
        <f>IF(AND(J$14&lt;&gt;"",$AX$28="c"),Tech!AF$28,"")</f>
      </c>
      <c r="K65" s="86">
        <f>IF(AND(K$14&lt;&gt;"",$AX$28="c"),Tech!AG$28,"")</f>
      </c>
      <c r="L65" s="86">
        <f>IF(AND(L$14&lt;&gt;"",$AX$28="c"),Tech!AH$28,"")</f>
      </c>
      <c r="M65" s="86">
        <f>IF(AND(M$14&lt;&gt;"",$AX$28="c"),Tech!AI$28,"")</f>
      </c>
      <c r="N65" s="86">
        <f>IF(AND(N$14&lt;&gt;"",$AX$28="c"),Tech!AJ$28,"")</f>
      </c>
      <c r="P65" s="50">
        <f t="shared" si="31"/>
      </c>
      <c r="Q65" s="262">
        <f t="shared" si="1"/>
      </c>
      <c r="R65" s="263">
        <f t="shared" si="2"/>
      </c>
      <c r="S65" s="263">
        <f t="shared" si="3"/>
      </c>
      <c r="T65" s="262">
        <f t="shared" si="4"/>
      </c>
      <c r="U65" s="263">
        <f t="shared" si="5"/>
      </c>
      <c r="V65" s="263">
        <f t="shared" si="6"/>
      </c>
      <c r="W65" s="262">
        <f t="shared" si="7"/>
      </c>
      <c r="X65" s="263">
        <f t="shared" si="8"/>
      </c>
      <c r="Y65" s="263">
        <f t="shared" si="9"/>
      </c>
      <c r="Z65" s="262">
        <f t="shared" si="10"/>
      </c>
      <c r="AA65" s="263">
        <f t="shared" si="11"/>
      </c>
      <c r="AB65" s="263">
        <f t="shared" si="12"/>
      </c>
      <c r="AC65" s="262">
        <f t="shared" si="13"/>
      </c>
      <c r="AD65" s="263">
        <f t="shared" si="14"/>
      </c>
      <c r="AE65" s="263">
        <f t="shared" si="15"/>
      </c>
      <c r="AF65" s="262">
        <f t="shared" si="16"/>
      </c>
      <c r="AG65" s="263">
        <f t="shared" si="17"/>
      </c>
      <c r="AH65" s="263">
        <f t="shared" si="18"/>
      </c>
      <c r="AI65" s="262">
        <f t="shared" si="19"/>
      </c>
      <c r="AJ65" s="263">
        <f t="shared" si="20"/>
      </c>
      <c r="AK65" s="263">
        <f t="shared" si="21"/>
      </c>
      <c r="AL65" s="262">
        <f t="shared" si="22"/>
      </c>
      <c r="AM65" s="263">
        <f t="shared" si="23"/>
      </c>
      <c r="AN65" s="263">
        <f t="shared" si="24"/>
      </c>
      <c r="AO65" s="262">
        <f t="shared" si="25"/>
      </c>
      <c r="AP65" s="263">
        <f t="shared" si="26"/>
      </c>
      <c r="AQ65" s="263">
        <f t="shared" si="27"/>
      </c>
      <c r="AS65" s="103" t="str">
        <f t="shared" si="28"/>
        <v>---</v>
      </c>
      <c r="AT65" s="125" t="str">
        <f t="shared" si="29"/>
        <v>---</v>
      </c>
      <c r="AX65" s="121">
        <f t="shared" si="30"/>
      </c>
    </row>
    <row r="66" spans="3:14" ht="12.75">
      <c r="C66" s="122" t="s">
        <v>57</v>
      </c>
      <c r="D66" s="124">
        <f t="shared" si="32"/>
      </c>
      <c r="E66" s="86">
        <f>IF($AX$28="c",Tech!AM$28,"")</f>
      </c>
      <c r="F66" s="86">
        <f>IF($AX$28="c",Tech!AN$28,"")</f>
      </c>
      <c r="G66" s="86">
        <f>IF(AND(G$14&lt;&gt;"",$AX$28="c"),Tech!AO$28,"")</f>
      </c>
      <c r="H66" s="86">
        <f>IF(AND(H$14&lt;&gt;"",$AX$28="c"),Tech!AP$28,"")</f>
      </c>
      <c r="I66" s="86">
        <f>IF(AND(I$14&lt;&gt;"",$AX$28="c"),Tech!AQ$28,"")</f>
      </c>
      <c r="J66" s="86">
        <f>IF(AND(J$14&lt;&gt;"",$AX$28="c"),Tech!AR$28,"")</f>
      </c>
      <c r="K66" s="86">
        <f>IF(AND(K$14&lt;&gt;"",$AX$28="c"),Tech!AS$28,"")</f>
      </c>
      <c r="L66" s="86">
        <f>IF(AND(L$14&lt;&gt;"",$AX$28="c"),Tech!AT$28,"")</f>
      </c>
      <c r="M66" s="86">
        <f>IF(AND(M$14&lt;&gt;"",$AX$28="c"),Tech!AU$28,"")</f>
      </c>
      <c r="N66" s="86">
        <f>IF(AND(N$14&lt;&gt;"",$AX$28="c"),Tech!AV$28,"")</f>
      </c>
    </row>
    <row r="67" spans="2:14" ht="12.75">
      <c r="B67" s="118"/>
      <c r="C67" s="122" t="s">
        <v>58</v>
      </c>
      <c r="D67" s="124">
        <f t="shared" si="32"/>
      </c>
      <c r="E67" s="86">
        <f>IF($AX$28="c",Tech!AY$28,"")</f>
      </c>
      <c r="F67" s="86">
        <f>IF($AX$28="c",Tech!AZ$28,"")</f>
      </c>
      <c r="G67" s="86">
        <f>IF(AND(G$14&lt;&gt;"",$AX$28="c"),Tech!BA$28,"")</f>
      </c>
      <c r="H67" s="86">
        <f>IF(AND(H$14&lt;&gt;"",$AX$28="c"),Tech!BB$28,"")</f>
      </c>
      <c r="I67" s="86">
        <f>IF(AND(I$14&lt;&gt;"",$AX$28="c"),Tech!BC$28,"")</f>
      </c>
      <c r="J67" s="86">
        <f>IF(AND(J$14&lt;&gt;"",$AX$28="c"),Tech!BD$28,"")</f>
      </c>
      <c r="K67" s="86">
        <f>IF(AND(K$14&lt;&gt;"",$AX$28="c"),Tech!BE$28,"")</f>
      </c>
      <c r="L67" s="86">
        <f>IF(AND(L$14&lt;&gt;"",$AX$28="c"),Tech!BF$28,"")</f>
      </c>
      <c r="M67" s="86">
        <f>IF(AND(M$14&lt;&gt;"",$AX$28="c"),Tech!BG$28,"")</f>
      </c>
      <c r="N67" s="86">
        <f>IF(AND(N$14&lt;&gt;"",$AX$28="c"),Tech!BH$28,"")</f>
      </c>
    </row>
    <row r="68" spans="2:14" ht="12.75">
      <c r="B68" s="118" t="str">
        <f>AS29</f>
        <v>---</v>
      </c>
      <c r="C68" s="119" t="s">
        <v>55</v>
      </c>
      <c r="D68" s="124">
        <f t="shared" si="32"/>
      </c>
      <c r="E68" s="86">
        <f>IF($AX$29="b",Tech!O$29,"")</f>
      </c>
      <c r="F68" s="86">
        <f>IF($AX$29="b",Tech!P$29,"")</f>
      </c>
      <c r="G68" s="86">
        <f>IF(AND(G$14&lt;&gt;"",$AX$29="b"),Tech!Q$29,"")</f>
      </c>
      <c r="H68" s="86">
        <f>IF(AND(H$14&lt;&gt;"",$AX$29="b"),Tech!R$29,"")</f>
      </c>
      <c r="I68" s="86">
        <f>IF(AND(I$14&lt;&gt;"",$AX$29="b"),Tech!S$29,"")</f>
      </c>
      <c r="J68" s="86">
        <f>IF(AND(J$14&lt;&gt;"",$AX$29="b"),Tech!T$29,"")</f>
      </c>
      <c r="K68" s="86">
        <f>IF(AND(K$14&lt;&gt;"",$AX$29="b"),Tech!U$29,"")</f>
      </c>
      <c r="L68" s="86">
        <f>IF(AND(L$14&lt;&gt;"",$AX$29="b"),Tech!V$29,"")</f>
      </c>
      <c r="M68" s="86">
        <f>IF(AND(M$14&lt;&gt;"",$AX$29="b"),Tech!W$29,"")</f>
      </c>
      <c r="N68" s="86">
        <f>IF(AND(N$14&lt;&gt;"",$AX$29="b"),Tech!X$29,"")</f>
      </c>
    </row>
    <row r="69" spans="2:14" ht="12.75">
      <c r="B69" s="118"/>
      <c r="C69" s="122" t="s">
        <v>56</v>
      </c>
      <c r="D69" s="124">
        <f t="shared" si="32"/>
      </c>
      <c r="E69" s="86">
        <f>IF($AX$29="c",Tech!AA$29,"")</f>
      </c>
      <c r="F69" s="86">
        <f>IF($AX$29="c",Tech!AB$29,"")</f>
      </c>
      <c r="G69" s="86">
        <f>IF(AND(G$14&lt;&gt;"",$AX$29="c"),Tech!AC$29,"")</f>
      </c>
      <c r="H69" s="86">
        <f>IF(AND(H$14&lt;&gt;"",$AX$29="c"),Tech!AD$29,"")</f>
      </c>
      <c r="I69" s="86">
        <f>IF(AND(I$14&lt;&gt;"",$AX$29="c"),Tech!AE$29,"")</f>
      </c>
      <c r="J69" s="86">
        <f>IF(AND(J$14&lt;&gt;"",$AX$29="c"),Tech!AF$29,"")</f>
      </c>
      <c r="K69" s="86">
        <f>IF(AND(K$14&lt;&gt;"",$AX$29="c"),Tech!AG$29,"")</f>
      </c>
      <c r="L69" s="86">
        <f>IF(AND(L$14&lt;&gt;"",$AX$29="c"),Tech!AH$29,"")</f>
      </c>
      <c r="M69" s="86">
        <f>IF(AND(M$14&lt;&gt;"",$AX$29="c"),Tech!AI$29,"")</f>
      </c>
      <c r="N69" s="86">
        <f>IF(AND(N$14&lt;&gt;"",$AX$29="c"),Tech!AJ$29,"")</f>
      </c>
    </row>
    <row r="70" spans="2:14" ht="12.75">
      <c r="B70" s="118"/>
      <c r="C70" s="122" t="s">
        <v>57</v>
      </c>
      <c r="D70" s="124">
        <f t="shared" si="32"/>
      </c>
      <c r="E70" s="86">
        <f>IF($AX$29="c",Tech!AM$29,"")</f>
      </c>
      <c r="F70" s="86">
        <f>IF($AX$29="c",Tech!AN$29,"")</f>
      </c>
      <c r="G70" s="86">
        <f>IF(AND(G$14&lt;&gt;"",$AX$29="c"),Tech!AO$29,"")</f>
      </c>
      <c r="H70" s="86">
        <f>IF(AND(H$14&lt;&gt;"",$AX$29="c"),Tech!AP$29,"")</f>
      </c>
      <c r="I70" s="86">
        <f>IF(AND(I$14&lt;&gt;"",$AX$29="c"),Tech!AQ$29,"")</f>
      </c>
      <c r="J70" s="86">
        <f>IF(AND(J$14&lt;&gt;"",$AX$29="c"),Tech!AR$29,"")</f>
      </c>
      <c r="K70" s="86">
        <f>IF(AND(K$14&lt;&gt;"",$AX$29="c"),Tech!AS$29,"")</f>
      </c>
      <c r="L70" s="86">
        <f>IF(AND(L$14&lt;&gt;"",$AX$29="c"),Tech!AT$29,"")</f>
      </c>
      <c r="M70" s="86">
        <f>IF(AND(M$14&lt;&gt;"",$AX$29="c"),Tech!AU$29,"")</f>
      </c>
      <c r="N70" s="86">
        <f>IF(AND(N$14&lt;&gt;"",$AX$29="c"),Tech!AV$29,"")</f>
      </c>
    </row>
    <row r="71" spans="3:14" ht="12.75">
      <c r="C71" s="122" t="s">
        <v>58</v>
      </c>
      <c r="D71" s="124">
        <f t="shared" si="32"/>
      </c>
      <c r="E71" s="86">
        <f>IF($AX$29="c",Tech!AY$29,"")</f>
      </c>
      <c r="F71" s="86">
        <f>IF($AX$29="c",Tech!AZ$29,"")</f>
      </c>
      <c r="G71" s="86">
        <f>IF(AND(G$14&lt;&gt;"",$AX$29="c"),Tech!BA$29,"")</f>
      </c>
      <c r="H71" s="86">
        <f>IF(AND(H$14&lt;&gt;"",$AX$29="c"),Tech!BB$29,"")</f>
      </c>
      <c r="I71" s="86">
        <f>IF(AND(I$14&lt;&gt;"",$AX$29="c"),Tech!BC$29,"")</f>
      </c>
      <c r="J71" s="86">
        <f>IF(AND(J$14&lt;&gt;"",$AX$29="c"),Tech!BD$29,"")</f>
      </c>
      <c r="K71" s="86">
        <f>IF(AND(K$14&lt;&gt;"",$AX$29="c"),Tech!BE$29,"")</f>
      </c>
      <c r="L71" s="86">
        <f>IF(AND(L$14&lt;&gt;"",$AX$29="c"),Tech!BF$29,"")</f>
      </c>
      <c r="M71" s="86">
        <f>IF(AND(M$14&lt;&gt;"",$AX$29="c"),Tech!BG$29,"")</f>
      </c>
      <c r="N71" s="86">
        <f>IF(AND(N$14&lt;&gt;"",$AX$29="c"),Tech!BH$29,"")</f>
      </c>
    </row>
    <row r="72" spans="2:14" ht="12.75">
      <c r="B72" s="118" t="str">
        <f>AS30</f>
        <v>---</v>
      </c>
      <c r="C72" s="119" t="s">
        <v>55</v>
      </c>
      <c r="D72" s="124">
        <f t="shared" si="32"/>
      </c>
      <c r="E72" s="86">
        <f>IF($AX$30="b",Tech!O$30,"")</f>
      </c>
      <c r="F72" s="86">
        <f>IF($AX$30="b",Tech!P$30,"")</f>
      </c>
      <c r="G72" s="86">
        <f>IF(AND(G$14&lt;&gt;"",$AX$30="b"),Tech!Q$30,"")</f>
      </c>
      <c r="H72" s="86">
        <f>IF(AND(H$14&lt;&gt;"",$AX$30="b"),Tech!R$30,"")</f>
      </c>
      <c r="I72" s="86">
        <f>IF(AND(I$14&lt;&gt;"",$AX$30="b"),Tech!S$30,"")</f>
      </c>
      <c r="J72" s="86">
        <f>IF(AND(J$14&lt;&gt;"",$AX$30="b"),Tech!T$30,"")</f>
      </c>
      <c r="K72" s="86">
        <f>IF(AND(K$14&lt;&gt;"",$AX$30="b"),Tech!U$30,"")</f>
      </c>
      <c r="L72" s="86">
        <f>IF(AND(L$14&lt;&gt;"",$AX$30="b"),Tech!V$30,"")</f>
      </c>
      <c r="M72" s="86">
        <f>IF(AND(M$14&lt;&gt;"",$AX$30="b"),Tech!W$30,"")</f>
      </c>
      <c r="N72" s="86">
        <f>IF(AND(N$14&lt;&gt;"",$AX$30="b"),Tech!X$30,"")</f>
      </c>
    </row>
    <row r="73" spans="2:14" ht="12.75">
      <c r="B73" s="118"/>
      <c r="C73" s="122" t="s">
        <v>56</v>
      </c>
      <c r="D73" s="124">
        <f t="shared" si="32"/>
      </c>
      <c r="E73" s="86">
        <f>IF($AX$30="c",Tech!AA$30,"")</f>
      </c>
      <c r="F73" s="86">
        <f>IF($AX$30="c",Tech!AB$30,"")</f>
      </c>
      <c r="G73" s="86">
        <f>IF(AND(G$14&lt;&gt;"",$AX$30="c"),Tech!AC$30,"")</f>
      </c>
      <c r="H73" s="86">
        <f>IF(AND(H$14&lt;&gt;"",$AX$30="c"),Tech!AD$30,"")</f>
      </c>
      <c r="I73" s="86">
        <f>IF(AND(I$14&lt;&gt;"",$AX$30="c"),Tech!AE$30,"")</f>
      </c>
      <c r="J73" s="86">
        <f>IF(AND(J$14&lt;&gt;"",$AX$30="c"),Tech!AF$30,"")</f>
      </c>
      <c r="K73" s="86">
        <f>IF(AND(K$14&lt;&gt;"",$AX$30="c"),Tech!AG$30,"")</f>
      </c>
      <c r="L73" s="86">
        <f>IF(AND(L$14&lt;&gt;"",$AX$30="c"),Tech!AH$30,"")</f>
      </c>
      <c r="M73" s="86">
        <f>IF(AND(M$14&lt;&gt;"",$AX$30="c"),Tech!AI$30,"")</f>
      </c>
      <c r="N73" s="86">
        <f>IF(AND(N$14&lt;&gt;"",$AX$30="c"),Tech!AJ$30,"")</f>
      </c>
    </row>
    <row r="74" spans="2:14" ht="12.75">
      <c r="B74" s="118"/>
      <c r="C74" s="122" t="s">
        <v>57</v>
      </c>
      <c r="D74" s="124">
        <f t="shared" si="32"/>
      </c>
      <c r="E74" s="86">
        <f>IF($AX$30="c",Tech!AM$30,"")</f>
      </c>
      <c r="F74" s="86">
        <f>IF($AX$30="c",Tech!AN$30,"")</f>
      </c>
      <c r="G74" s="86">
        <f>IF(AND(G$14&lt;&gt;"",$AX$30="c"),Tech!AO$30,"")</f>
      </c>
      <c r="H74" s="86">
        <f>IF(AND(H$14&lt;&gt;"",$AX$30="c"),Tech!AP$30,"")</f>
      </c>
      <c r="I74" s="86">
        <f>IF(AND(I$14&lt;&gt;"",$AX$30="c"),Tech!AQ$30,"")</f>
      </c>
      <c r="J74" s="86">
        <f>IF(AND(J$14&lt;&gt;"",$AX$30="c"),Tech!AR$30,"")</f>
      </c>
      <c r="K74" s="86">
        <f>IF(AND(K$14&lt;&gt;"",$AX$30="c"),Tech!AS$30,"")</f>
      </c>
      <c r="L74" s="86">
        <f>IF(AND(L$14&lt;&gt;"",$AX$30="c"),Tech!AT$30,"")</f>
      </c>
      <c r="M74" s="86">
        <f>IF(AND(M$14&lt;&gt;"",$AX$30="c"),Tech!AU$30,"")</f>
      </c>
      <c r="N74" s="86">
        <f>IF(AND(N$14&lt;&gt;"",$AX$30="c"),Tech!AV$30,"")</f>
      </c>
    </row>
    <row r="75" spans="2:14" ht="12.75">
      <c r="B75" s="118"/>
      <c r="C75" s="122" t="s">
        <v>58</v>
      </c>
      <c r="D75" s="124">
        <f t="shared" si="32"/>
      </c>
      <c r="E75" s="86">
        <f>IF($AX$30="c",Tech!AY$30,"")</f>
      </c>
      <c r="F75" s="86">
        <f>IF($AX$30="c",Tech!AZ$30,"")</f>
      </c>
      <c r="G75" s="86">
        <f>IF(AND(G$14&lt;&gt;"",$AX$30="c"),Tech!BA$30,"")</f>
      </c>
      <c r="H75" s="86">
        <f>IF(AND(H$14&lt;&gt;"",$AX$30="c"),Tech!BB$30,"")</f>
      </c>
      <c r="I75" s="86">
        <f>IF(AND(I$14&lt;&gt;"",$AX$30="c"),Tech!BC$30,"")</f>
      </c>
      <c r="J75" s="86">
        <f>IF(AND(J$14&lt;&gt;"",$AX$30="c"),Tech!BD$30,"")</f>
      </c>
      <c r="K75" s="86">
        <f>IF(AND(K$14&lt;&gt;"",$AX$30="c"),Tech!BE$30,"")</f>
      </c>
      <c r="L75" s="86">
        <f>IF(AND(L$14&lt;&gt;"",$AX$30="c"),Tech!BF$30,"")</f>
      </c>
      <c r="M75" s="86">
        <f>IF(AND(M$14&lt;&gt;"",$AX$30="c"),Tech!BG$30,"")</f>
      </c>
      <c r="N75" s="86">
        <f>IF(AND(N$14&lt;&gt;"",$AX$30="c"),Tech!BH$30,"")</f>
      </c>
    </row>
    <row r="76" spans="2:14" ht="12.75">
      <c r="B76" s="118" t="str">
        <f>AS31</f>
        <v>---</v>
      </c>
      <c r="C76" s="119" t="s">
        <v>55</v>
      </c>
      <c r="D76" s="124">
        <f t="shared" si="32"/>
      </c>
      <c r="E76" s="86">
        <f>IF($AX$31="b",Tech!O$31,"")</f>
      </c>
      <c r="F76" s="86">
        <f>IF($AX$31="b",Tech!P$31,"")</f>
      </c>
      <c r="G76" s="86">
        <f>IF(AND(G$14&lt;&gt;"",$AX$31="b"),Tech!Q$31,"")</f>
      </c>
      <c r="H76" s="86">
        <f>IF(AND(H$14&lt;&gt;"",$AX$31="b"),Tech!R$31,"")</f>
      </c>
      <c r="I76" s="86">
        <f>IF(AND(I$14&lt;&gt;"",$AX$31="b"),Tech!S$31,"")</f>
      </c>
      <c r="J76" s="86">
        <f>IF(AND(J$14&lt;&gt;"",$AX$31="b"),Tech!T$31,"")</f>
      </c>
      <c r="K76" s="86">
        <f>IF(AND(K$14&lt;&gt;"",$AX$31="b"),Tech!U$31,"")</f>
      </c>
      <c r="L76" s="86">
        <f>IF(AND(L$14&lt;&gt;"",$AX$31="b"),Tech!V$31,"")</f>
      </c>
      <c r="M76" s="86">
        <f>IF(AND(M$14&lt;&gt;"",$AX$31="b"),Tech!W$31,"")</f>
      </c>
      <c r="N76" s="86">
        <f>IF(AND(N$14&lt;&gt;"",$AX$31="b"),Tech!X$31,"")</f>
      </c>
    </row>
    <row r="77" spans="2:14" ht="12.75">
      <c r="B77" s="118"/>
      <c r="C77" s="122" t="s">
        <v>56</v>
      </c>
      <c r="D77" s="124">
        <f t="shared" si="32"/>
      </c>
      <c r="E77" s="86">
        <f>IF($AX$31="c",Tech!AA$31,"")</f>
      </c>
      <c r="F77" s="86">
        <f>IF($AX$31="c",Tech!AB$31,"")</f>
      </c>
      <c r="G77" s="86">
        <f>IF(AND(G$14&lt;&gt;"",$AX$31="c"),Tech!AC$31,"")</f>
      </c>
      <c r="H77" s="86">
        <f>IF(AND(H$14&lt;&gt;"",$AX$31="c"),Tech!AD$31,"")</f>
      </c>
      <c r="I77" s="86">
        <f>IF(AND(I$14&lt;&gt;"",$AX$31="c"),Tech!AE$31,"")</f>
      </c>
      <c r="J77" s="86">
        <f>IF(AND(J$14&lt;&gt;"",$AX$31="c"),Tech!AF$31,"")</f>
      </c>
      <c r="K77" s="86">
        <f>IF(AND(K$14&lt;&gt;"",$AX$31="c"),Tech!AG$31,"")</f>
      </c>
      <c r="L77" s="86">
        <f>IF(AND(L$14&lt;&gt;"",$AX$31="c"),Tech!AH$31,"")</f>
      </c>
      <c r="M77" s="86">
        <f>IF(AND(M$14&lt;&gt;"",$AX$31="c"),Tech!AI$31,"")</f>
      </c>
      <c r="N77" s="86">
        <f>IF(AND(N$14&lt;&gt;"",$AX$31="c"),Tech!AJ$31,"")</f>
      </c>
    </row>
    <row r="78" spans="2:14" ht="12.75">
      <c r="B78" s="118"/>
      <c r="C78" s="122" t="s">
        <v>57</v>
      </c>
      <c r="D78" s="124">
        <f t="shared" si="32"/>
      </c>
      <c r="E78" s="86">
        <f>IF($AX$31="c",Tech!AM$31,"")</f>
      </c>
      <c r="F78" s="86">
        <f>IF($AX$31="c",Tech!AN$31,"")</f>
      </c>
      <c r="G78" s="86">
        <f>IF(AND(G$14&lt;&gt;"",$AX$31="c"),Tech!AO$31,"")</f>
      </c>
      <c r="H78" s="86">
        <f>IF(AND(H$14&lt;&gt;"",$AX$31="c"),Tech!AP$31,"")</f>
      </c>
      <c r="I78" s="86">
        <f>IF(AND(I$14&lt;&gt;"",$AX$31="c"),Tech!AQ$31,"")</f>
      </c>
      <c r="J78" s="86">
        <f>IF(AND(J$14&lt;&gt;"",$AX$31="c"),Tech!AR$31,"")</f>
      </c>
      <c r="K78" s="86">
        <f>IF(AND(K$14&lt;&gt;"",$AX$31="c"),Tech!AS$31,"")</f>
      </c>
      <c r="L78" s="86">
        <f>IF(AND(L$14&lt;&gt;"",$AX$31="c"),Tech!AT$31,"")</f>
      </c>
      <c r="M78" s="86">
        <f>IF(AND(M$14&lt;&gt;"",$AX$31="c"),Tech!AU$31,"")</f>
      </c>
      <c r="N78" s="86">
        <f>IF(AND(N$14&lt;&gt;"",$AX$31="c"),Tech!AV$31,"")</f>
      </c>
    </row>
    <row r="79" spans="2:14" ht="12.75">
      <c r="B79" s="118"/>
      <c r="C79" s="122" t="s">
        <v>58</v>
      </c>
      <c r="D79" s="124">
        <f t="shared" si="32"/>
      </c>
      <c r="E79" s="86">
        <f>IF($AX$31="c",Tech!AY$31,"")</f>
      </c>
      <c r="F79" s="86">
        <f>IF($AX$31="c",Tech!AZ$31,"")</f>
      </c>
      <c r="G79" s="86">
        <f>IF(AND(G$14&lt;&gt;"",$AX$31="c"),Tech!BA$31,"")</f>
      </c>
      <c r="H79" s="86">
        <f>IF(AND(H$14&lt;&gt;"",$AX$31="c"),Tech!BB$31,"")</f>
      </c>
      <c r="I79" s="86">
        <f>IF(AND(I$14&lt;&gt;"",$AX$31="c"),Tech!BC$31,"")</f>
      </c>
      <c r="J79" s="86">
        <f>IF(AND(J$14&lt;&gt;"",$AX$31="c"),Tech!BD$31,"")</f>
      </c>
      <c r="K79" s="86">
        <f>IF(AND(K$14&lt;&gt;"",$AX$31="c"),Tech!BE$31,"")</f>
      </c>
      <c r="L79" s="86">
        <f>IF(AND(L$14&lt;&gt;"",$AX$31="c"),Tech!BF$31,"")</f>
      </c>
      <c r="M79" s="86">
        <f>IF(AND(M$14&lt;&gt;"",$AX$31="c"),Tech!BG$31,"")</f>
      </c>
      <c r="N79" s="86">
        <f>IF(AND(N$14&lt;&gt;"",$AX$31="c"),Tech!BH$31,"")</f>
      </c>
    </row>
    <row r="80" spans="2:14" ht="12.75">
      <c r="B80" s="118" t="str">
        <f>AS32</f>
        <v>---</v>
      </c>
      <c r="C80" s="119" t="s">
        <v>55</v>
      </c>
      <c r="D80" s="124">
        <f t="shared" si="32"/>
      </c>
      <c r="E80" s="86">
        <f>IF($AX$32="b",Tech!O$32,"")</f>
      </c>
      <c r="F80" s="86">
        <f>IF($AX$32="b",Tech!P$32,"")</f>
      </c>
      <c r="G80" s="86">
        <f>IF(AND(G$14&lt;&gt;"",$AX$32="b"),Tech!Q$32,"")</f>
      </c>
      <c r="H80" s="86">
        <f>IF(AND(H$14&lt;&gt;"",$AX$32="b"),Tech!R$32,"")</f>
      </c>
      <c r="I80" s="86">
        <f>IF(AND(I$14&lt;&gt;"",$AX$32="b"),Tech!S$32,"")</f>
      </c>
      <c r="J80" s="86">
        <f>IF(AND(J$14&lt;&gt;"",$AX$32="b"),Tech!T$32,"")</f>
      </c>
      <c r="K80" s="86">
        <f>IF(AND(K$14&lt;&gt;"",$AX$32="b"),Tech!U$32,"")</f>
      </c>
      <c r="L80" s="86">
        <f>IF(AND(L$14&lt;&gt;"",$AX$32="b"),Tech!V$32,"")</f>
      </c>
      <c r="M80" s="86">
        <f>IF(AND(M$14&lt;&gt;"",$AX$32="b"),Tech!W$32,"")</f>
      </c>
      <c r="N80" s="86">
        <f>IF(AND(N$14&lt;&gt;"",$AX$32="b"),Tech!X$32,"")</f>
      </c>
    </row>
    <row r="81" spans="3:14" ht="12.75">
      <c r="C81" s="122" t="s">
        <v>56</v>
      </c>
      <c r="D81" s="124">
        <f t="shared" si="32"/>
      </c>
      <c r="E81" s="86">
        <f>IF($AX$32="c",Tech!AA$32,"")</f>
      </c>
      <c r="F81" s="86">
        <f>IF($AX$32="c",Tech!AB$32,"")</f>
      </c>
      <c r="G81" s="86">
        <f>IF(AND(G$14&lt;&gt;"",$AX$32="c"),Tech!AC$32,"")</f>
      </c>
      <c r="H81" s="86">
        <f>IF(AND(H$14&lt;&gt;"",$AX$32="c"),Tech!AD$32,"")</f>
      </c>
      <c r="I81" s="86">
        <f>IF(AND(I$14&lt;&gt;"",$AX$32="c"),Tech!AE$32,"")</f>
      </c>
      <c r="J81" s="86">
        <f>IF(AND(J$14&lt;&gt;"",$AX$32="c"),Tech!AF$32,"")</f>
      </c>
      <c r="K81" s="86">
        <f>IF(AND(K$14&lt;&gt;"",$AX$32="c"),Tech!AG$32,"")</f>
      </c>
      <c r="L81" s="86">
        <f>IF(AND(L$14&lt;&gt;"",$AX$32="c"),Tech!AH$32,"")</f>
      </c>
      <c r="M81" s="86">
        <f>IF(AND(M$14&lt;&gt;"",$AX$32="c"),Tech!AI$32,"")</f>
      </c>
      <c r="N81" s="86">
        <f>IF(AND(N$14&lt;&gt;"",$AX$32="c"),Tech!AJ$32,"")</f>
      </c>
    </row>
    <row r="82" spans="2:14" ht="12.75">
      <c r="B82" s="118"/>
      <c r="C82" s="122" t="s">
        <v>57</v>
      </c>
      <c r="D82" s="124">
        <f t="shared" si="32"/>
      </c>
      <c r="E82" s="86">
        <f>IF($AX$32="c",Tech!AM$32,"")</f>
      </c>
      <c r="F82" s="86">
        <f>IF($AX$32="c",Tech!AN$32,"")</f>
      </c>
      <c r="G82" s="86">
        <f>IF(AND(G$14&lt;&gt;"",$AX$32="c"),Tech!AO$32,"")</f>
      </c>
      <c r="H82" s="86">
        <f>IF(AND(H$14&lt;&gt;"",$AX$32="c"),Tech!AP$32,"")</f>
      </c>
      <c r="I82" s="86">
        <f>IF(AND(I$14&lt;&gt;"",$AX$32="c"),Tech!AQ$32,"")</f>
      </c>
      <c r="J82" s="86">
        <f>IF(AND(J$14&lt;&gt;"",$AX$32="c"),Tech!AR$32,"")</f>
      </c>
      <c r="K82" s="86">
        <f>IF(AND(K$14&lt;&gt;"",$AX$32="c"),Tech!AS$32,"")</f>
      </c>
      <c r="L82" s="86">
        <f>IF(AND(L$14&lt;&gt;"",$AX$32="c"),Tech!AT$32,"")</f>
      </c>
      <c r="M82" s="86">
        <f>IF(AND(M$14&lt;&gt;"",$AX$32="c"),Tech!AU$32,"")</f>
      </c>
      <c r="N82" s="86">
        <f>IF(AND(N$14&lt;&gt;"",$AX$32="c"),Tech!AV$32,"")</f>
      </c>
    </row>
    <row r="83" spans="2:14" ht="12.75">
      <c r="B83" s="118"/>
      <c r="C83" s="122" t="s">
        <v>58</v>
      </c>
      <c r="D83" s="124">
        <f t="shared" si="32"/>
      </c>
      <c r="E83" s="86">
        <f>IF($AX$32="c",Tech!AY$32,"")</f>
      </c>
      <c r="F83" s="86">
        <f>IF($AX$32="c",Tech!AZ$32,"")</f>
      </c>
      <c r="G83" s="86">
        <f>IF(AND(G$14&lt;&gt;"",$AX$32="c"),Tech!BA$32,"")</f>
      </c>
      <c r="H83" s="86">
        <f>IF(AND(H$14&lt;&gt;"",$AX$32="c"),Tech!BB$32,"")</f>
      </c>
      <c r="I83" s="86">
        <f>IF(AND(I$14&lt;&gt;"",$AX$32="c"),Tech!BC$32,"")</f>
      </c>
      <c r="J83" s="86">
        <f>IF(AND(J$14&lt;&gt;"",$AX$32="c"),Tech!BD$32,"")</f>
      </c>
      <c r="K83" s="86">
        <f>IF(AND(K$14&lt;&gt;"",$AX$32="c"),Tech!BE$32,"")</f>
      </c>
      <c r="L83" s="86">
        <f>IF(AND(L$14&lt;&gt;"",$AX$32="c"),Tech!BF$32,"")</f>
      </c>
      <c r="M83" s="86">
        <f>IF(AND(M$14&lt;&gt;"",$AX$32="c"),Tech!BG$32,"")</f>
      </c>
      <c r="N83" s="86">
        <f>IF(AND(N$14&lt;&gt;"",$AX$32="c"),Tech!BH$32,"")</f>
      </c>
    </row>
    <row r="84" spans="2:14" ht="12.75">
      <c r="B84" s="118" t="str">
        <f>AS33</f>
        <v>---</v>
      </c>
      <c r="C84" s="119" t="s">
        <v>55</v>
      </c>
      <c r="D84" s="124">
        <f t="shared" si="32"/>
      </c>
      <c r="E84" s="86">
        <f>IF($AX$33="b",Tech!O$33,"")</f>
      </c>
      <c r="F84" s="86">
        <f>IF($AX$33="b",Tech!P$33,"")</f>
      </c>
      <c r="G84" s="86">
        <f>IF(AND(G$14&lt;&gt;"",$AX$33="b"),Tech!Q$33,"")</f>
      </c>
      <c r="H84" s="86">
        <f>IF(AND(H$14&lt;&gt;"",$AX$33="b"),Tech!R$33,"")</f>
      </c>
      <c r="I84" s="86">
        <f>IF(AND(I$14&lt;&gt;"",$AX$33="b"),Tech!S$33,"")</f>
      </c>
      <c r="J84" s="86">
        <f>IF(AND(J$14&lt;&gt;"",$AX$33="b"),Tech!T$33,"")</f>
      </c>
      <c r="K84" s="86">
        <f>IF(AND(K$14&lt;&gt;"",$AX$33="b"),Tech!U$33,"")</f>
      </c>
      <c r="L84" s="86">
        <f>IF(AND(L$14&lt;&gt;"",$AX$33="b"),Tech!V$33,"")</f>
      </c>
      <c r="M84" s="86">
        <f>IF(AND(M$14&lt;&gt;"",$AX$33="b"),Tech!W$33,"")</f>
      </c>
      <c r="N84" s="86">
        <f>IF(AND(N$14&lt;&gt;"",$AX$33="b"),Tech!X$33,"")</f>
      </c>
    </row>
    <row r="85" spans="2:14" ht="12.75">
      <c r="B85" s="118"/>
      <c r="C85" s="122" t="s">
        <v>56</v>
      </c>
      <c r="D85" s="124">
        <f t="shared" si="32"/>
      </c>
      <c r="E85" s="86">
        <f>IF($AX$33="c",Tech!AA$33,"")</f>
      </c>
      <c r="F85" s="86">
        <f>IF($AX$33="c",Tech!AB$33,"")</f>
      </c>
      <c r="G85" s="86">
        <f>IF(AND(G$14&lt;&gt;"",$AX$33="c"),Tech!AC$33,"")</f>
      </c>
      <c r="H85" s="86">
        <f>IF(AND(H$14&lt;&gt;"",$AX$33="c"),Tech!AD$33,"")</f>
      </c>
      <c r="I85" s="86">
        <f>IF(AND(I$14&lt;&gt;"",$AX$33="c"),Tech!AE$33,"")</f>
      </c>
      <c r="J85" s="86">
        <f>IF(AND(J$14&lt;&gt;"",$AX$33="c"),Tech!AF$33,"")</f>
      </c>
      <c r="K85" s="86">
        <f>IF(AND(K$14&lt;&gt;"",$AX$33="c"),Tech!AG$33,"")</f>
      </c>
      <c r="L85" s="86">
        <f>IF(AND(L$14&lt;&gt;"",$AX$33="c"),Tech!AH$33,"")</f>
      </c>
      <c r="M85" s="86">
        <f>IF(AND(M$14&lt;&gt;"",$AX$33="c"),Tech!AI$33,"")</f>
      </c>
      <c r="N85" s="86">
        <f>IF(AND(N$14&lt;&gt;"",$AX$33="c"),Tech!AJ$33,"")</f>
      </c>
    </row>
    <row r="86" spans="3:14" ht="12.75">
      <c r="C86" s="122" t="s">
        <v>57</v>
      </c>
      <c r="D86" s="124">
        <f t="shared" si="32"/>
      </c>
      <c r="E86" s="86">
        <f>IF($AX$33="c",Tech!AM$33,"")</f>
      </c>
      <c r="F86" s="86">
        <f>IF($AX$33="c",Tech!AN$33,"")</f>
      </c>
      <c r="G86" s="86">
        <f>IF(AND(G$14&lt;&gt;"",$AX$33="c"),Tech!AO$33,"")</f>
      </c>
      <c r="H86" s="86">
        <f>IF(AND(H$14&lt;&gt;"",$AX$33="c"),Tech!AP$33,"")</f>
      </c>
      <c r="I86" s="86">
        <f>IF(AND(I$14&lt;&gt;"",$AX$33="c"),Tech!AQ$33,"")</f>
      </c>
      <c r="J86" s="86">
        <f>IF(AND(J$14&lt;&gt;"",$AX$33="c"),Tech!AR$33,"")</f>
      </c>
      <c r="K86" s="86">
        <f>IF(AND(K$14&lt;&gt;"",$AX$33="c"),Tech!AS$33,"")</f>
      </c>
      <c r="L86" s="86">
        <f>IF(AND(L$14&lt;&gt;"",$AX$33="c"),Tech!AT$33,"")</f>
      </c>
      <c r="M86" s="86">
        <f>IF(AND(M$14&lt;&gt;"",$AX$33="c"),Tech!AU$33,"")</f>
      </c>
      <c r="N86" s="86">
        <f>IF(AND(N$14&lt;&gt;"",$AX$33="c"),Tech!AV$33,"")</f>
      </c>
    </row>
    <row r="87" spans="2:14" ht="12.75">
      <c r="B87" s="118"/>
      <c r="C87" s="122" t="s">
        <v>58</v>
      </c>
      <c r="D87" s="124">
        <f t="shared" si="32"/>
      </c>
      <c r="E87" s="86">
        <f>IF($AX$33="c",Tech!AY$33,"")</f>
      </c>
      <c r="F87" s="86">
        <f>IF($AX$33="c",Tech!AZ$33,"")</f>
      </c>
      <c r="G87" s="86">
        <f>IF(AND(G$14&lt;&gt;"",$AX$33="c"),Tech!BA$33,"")</f>
      </c>
      <c r="H87" s="86">
        <f>IF(AND(H$14&lt;&gt;"",$AX$33="c"),Tech!BB$33,"")</f>
      </c>
      <c r="I87" s="86">
        <f>IF(AND(I$14&lt;&gt;"",$AX$33="c"),Tech!BC$33,"")</f>
      </c>
      <c r="J87" s="86">
        <f>IF(AND(J$14&lt;&gt;"",$AX$33="c"),Tech!BD$33,"")</f>
      </c>
      <c r="K87" s="86">
        <f>IF(AND(K$14&lt;&gt;"",$AX$33="c"),Tech!BE$33,"")</f>
      </c>
      <c r="L87" s="86">
        <f>IF(AND(L$14&lt;&gt;"",$AX$33="c"),Tech!BF$33,"")</f>
      </c>
      <c r="M87" s="86">
        <f>IF(AND(M$14&lt;&gt;"",$AX$33="c"),Tech!BG$33,"")</f>
      </c>
      <c r="N87" s="86">
        <f>IF(AND(N$14&lt;&gt;"",$AX$33="c"),Tech!BH$33,"")</f>
      </c>
    </row>
    <row r="88" spans="2:14" ht="12.75">
      <c r="B88" s="118" t="str">
        <f>AS34</f>
        <v>---</v>
      </c>
      <c r="C88" s="119" t="s">
        <v>55</v>
      </c>
      <c r="D88" s="124">
        <f t="shared" si="32"/>
      </c>
      <c r="E88" s="86">
        <f>IF($AX$34="b",Tech!O$34,"")</f>
      </c>
      <c r="F88" s="86">
        <f>IF($AX$34="b",Tech!P$34,"")</f>
      </c>
      <c r="G88" s="86">
        <f>IF(AND(G$14&lt;&gt;"",$AX$34="b"),Tech!Q$34,"")</f>
      </c>
      <c r="H88" s="86">
        <f>IF(AND(H$14&lt;&gt;"",$AX$34="b"),Tech!R$34,"")</f>
      </c>
      <c r="I88" s="86">
        <f>IF(AND(I$14&lt;&gt;"",$AX$34="b"),Tech!S$34,"")</f>
      </c>
      <c r="J88" s="86">
        <f>IF(AND(J$14&lt;&gt;"",$AX$34="b"),Tech!T$34,"")</f>
      </c>
      <c r="K88" s="86">
        <f>IF(AND(K$14&lt;&gt;"",$AX$34="b"),Tech!U$34,"")</f>
      </c>
      <c r="L88" s="86">
        <f>IF(AND(L$14&lt;&gt;"",$AX$34="b"),Tech!V$34,"")</f>
      </c>
      <c r="M88" s="86">
        <f>IF(AND(M$14&lt;&gt;"",$AX$34="b"),Tech!W$34,"")</f>
      </c>
      <c r="N88" s="86">
        <f>IF(AND(N$14&lt;&gt;"",$AX$34="b"),Tech!X$34,"")</f>
      </c>
    </row>
    <row r="89" spans="2:14" ht="12.75">
      <c r="B89" s="118"/>
      <c r="C89" s="122" t="s">
        <v>56</v>
      </c>
      <c r="D89" s="124">
        <f aca="true" t="shared" si="33" ref="D89:D152">IF(E89="","",(+myabsk(E89,F89,G89,H89,I89,J89,K89,L89,M89,N89,O89))/COUNT(E89:N89))</f>
      </c>
      <c r="E89" s="86">
        <f>IF($AX$34="c",Tech!AA$34,"")</f>
      </c>
      <c r="F89" s="86">
        <f>IF($AX$34="c",Tech!AB$34,"")</f>
      </c>
      <c r="G89" s="86">
        <f>IF(AND(G$14&lt;&gt;"",$AX$34="c"),Tech!AC$34,"")</f>
      </c>
      <c r="H89" s="86">
        <f>IF(AND(H$14&lt;&gt;"",$AX$34="c"),Tech!AD$34,"")</f>
      </c>
      <c r="I89" s="86">
        <f>IF(AND(I$14&lt;&gt;"",$AX$34="c"),Tech!AE$34,"")</f>
      </c>
      <c r="J89" s="86">
        <f>IF(AND(J$14&lt;&gt;"",$AX$34="c"),Tech!AF$34,"")</f>
      </c>
      <c r="K89" s="86">
        <f>IF(AND(K$14&lt;&gt;"",$AX$34="c"),Tech!AG$34,"")</f>
      </c>
      <c r="L89" s="86">
        <f>IF(AND(L$14&lt;&gt;"",$AX$34="c"),Tech!AH$34,"")</f>
      </c>
      <c r="M89" s="86">
        <f>IF(AND(M$14&lt;&gt;"",$AX$34="c"),Tech!AI$34,"")</f>
      </c>
      <c r="N89" s="86">
        <f>IF(AND(N$14&lt;&gt;"",$AX$34="c"),Tech!AJ$34,"")</f>
      </c>
    </row>
    <row r="90" spans="2:14" ht="12.75">
      <c r="B90" s="118"/>
      <c r="C90" s="122" t="s">
        <v>57</v>
      </c>
      <c r="D90" s="124">
        <f t="shared" si="33"/>
      </c>
      <c r="E90" s="86">
        <f>IF($AX$34="c",Tech!AM$34,"")</f>
      </c>
      <c r="F90" s="86">
        <f>IF($AX$34="c",Tech!AN$34,"")</f>
      </c>
      <c r="G90" s="86">
        <f>IF(AND(G$14&lt;&gt;"",$AX$34="c"),Tech!AO$34,"")</f>
      </c>
      <c r="H90" s="86">
        <f>IF(AND(H$14&lt;&gt;"",$AX$34="c"),Tech!AP$34,"")</f>
      </c>
      <c r="I90" s="86">
        <f>IF(AND(I$14&lt;&gt;"",$AX$34="c"),Tech!AQ$34,"")</f>
      </c>
      <c r="J90" s="86">
        <f>IF(AND(J$14&lt;&gt;"",$AX$34="c"),Tech!AR$34,"")</f>
      </c>
      <c r="K90" s="86">
        <f>IF(AND(K$14&lt;&gt;"",$AX$34="c"),Tech!AS$34,"")</f>
      </c>
      <c r="L90" s="86">
        <f>IF(AND(L$14&lt;&gt;"",$AX$34="c"),Tech!AT$34,"")</f>
      </c>
      <c r="M90" s="86">
        <f>IF(AND(M$14&lt;&gt;"",$AX$34="c"),Tech!AU$34,"")</f>
      </c>
      <c r="N90" s="86">
        <f>IF(AND(N$14&lt;&gt;"",$AX$34="c"),Tech!AV$34,"")</f>
      </c>
    </row>
    <row r="91" spans="3:14" ht="12.75">
      <c r="C91" s="122" t="s">
        <v>58</v>
      </c>
      <c r="D91" s="124">
        <f t="shared" si="33"/>
      </c>
      <c r="E91" s="86">
        <f>IF($AX$34="c",Tech!AY$34,"")</f>
      </c>
      <c r="F91" s="86">
        <f>IF($AX$34="c",Tech!AZ$34,"")</f>
      </c>
      <c r="G91" s="86">
        <f>IF(AND(G$14&lt;&gt;"",$AX$34="c"),Tech!BA$34,"")</f>
      </c>
      <c r="H91" s="86">
        <f>IF(AND(H$14&lt;&gt;"",$AX$34="c"),Tech!BB$34,"")</f>
      </c>
      <c r="I91" s="86">
        <f>IF(AND(I$14&lt;&gt;"",$AX$34="c"),Tech!BC$34,"")</f>
      </c>
      <c r="J91" s="86">
        <f>IF(AND(J$14&lt;&gt;"",$AX$34="c"),Tech!BD$34,"")</f>
      </c>
      <c r="K91" s="86">
        <f>IF(AND(K$14&lt;&gt;"",$AX$34="c"),Tech!BE$34,"")</f>
      </c>
      <c r="L91" s="86">
        <f>IF(AND(L$14&lt;&gt;"",$AX$34="c"),Tech!BF$34,"")</f>
      </c>
      <c r="M91" s="86">
        <f>IF(AND(M$14&lt;&gt;"",$AX$34="c"),Tech!BG$34,"")</f>
      </c>
      <c r="N91" s="86">
        <f>IF(AND(N$14&lt;&gt;"",$AX$34="c"),Tech!BH$34,"")</f>
      </c>
    </row>
    <row r="92" spans="2:14" ht="12.75">
      <c r="B92" s="118" t="str">
        <f>AS35</f>
        <v>---</v>
      </c>
      <c r="C92" s="119" t="s">
        <v>55</v>
      </c>
      <c r="D92" s="124">
        <f t="shared" si="33"/>
      </c>
      <c r="E92" s="86">
        <f>IF($AX$35="b",Tech!O$35,"")</f>
      </c>
      <c r="F92" s="86">
        <f>IF($AX$35="b",Tech!P$35,"")</f>
      </c>
      <c r="G92" s="86">
        <f>IF(AND(G$14&lt;&gt;"",$AX$35="b"),Tech!Q$35,"")</f>
      </c>
      <c r="H92" s="86">
        <f>IF(AND(H$14&lt;&gt;"",$AX$35="b"),Tech!R$35,"")</f>
      </c>
      <c r="I92" s="86">
        <f>IF(AND(I$14&lt;&gt;"",$AX$35="b"),Tech!S$35,"")</f>
      </c>
      <c r="J92" s="86">
        <f>IF(AND(J$14&lt;&gt;"",$AX$35="b"),Tech!T$35,"")</f>
      </c>
      <c r="K92" s="86">
        <f>IF(AND(K$14&lt;&gt;"",$AX$35="b"),Tech!U$35,"")</f>
      </c>
      <c r="L92" s="86">
        <f>IF(AND(L$14&lt;&gt;"",$AX$35="b"),Tech!V$35,"")</f>
      </c>
      <c r="M92" s="86">
        <f>IF(AND(M$14&lt;&gt;"",$AX$35="b"),Tech!W$35,"")</f>
      </c>
      <c r="N92" s="86">
        <f>IF(AND(N$14&lt;&gt;"",$AX$35="b"),Tech!X$35,"")</f>
      </c>
    </row>
    <row r="93" spans="2:14" ht="12.75">
      <c r="B93" s="118"/>
      <c r="C93" s="122" t="s">
        <v>56</v>
      </c>
      <c r="D93" s="124">
        <f t="shared" si="33"/>
      </c>
      <c r="E93" s="86">
        <f>IF($AX$35="c",Tech!AA$35,"")</f>
      </c>
      <c r="F93" s="86">
        <f>IF($AX$35="c",Tech!AB$35,"")</f>
      </c>
      <c r="G93" s="86">
        <f>IF(AND(G$14&lt;&gt;"",$AX$35="c"),Tech!AC$35,"")</f>
      </c>
      <c r="H93" s="86">
        <f>IF(AND(H$14&lt;&gt;"",$AX$35="c"),Tech!AD$35,"")</f>
      </c>
      <c r="I93" s="86">
        <f>IF(AND(I$14&lt;&gt;"",$AX$35="c"),Tech!AE$35,"")</f>
      </c>
      <c r="J93" s="86">
        <f>IF(AND(J$14&lt;&gt;"",$AX$35="c"),Tech!AF$35,"")</f>
      </c>
      <c r="K93" s="86">
        <f>IF(AND(K$14&lt;&gt;"",$AX$35="c"),Tech!AG$35,"")</f>
      </c>
      <c r="L93" s="86">
        <f>IF(AND(L$14&lt;&gt;"",$AX$35="c"),Tech!AH$35,"")</f>
      </c>
      <c r="M93" s="86">
        <f>IF(AND(M$14&lt;&gt;"",$AX$35="c"),Tech!AI$35,"")</f>
      </c>
      <c r="N93" s="86">
        <f>IF(AND(N$14&lt;&gt;"",$AX$35="c"),Tech!AJ$35,"")</f>
      </c>
    </row>
    <row r="94" spans="2:14" ht="12.75">
      <c r="B94" s="118"/>
      <c r="C94" s="122" t="s">
        <v>57</v>
      </c>
      <c r="D94" s="124">
        <f t="shared" si="33"/>
      </c>
      <c r="E94" s="86">
        <f>IF($AX$35="c",Tech!AM$35,"")</f>
      </c>
      <c r="F94" s="86">
        <f>IF($AX$35="c",Tech!AN$35,"")</f>
      </c>
      <c r="G94" s="86">
        <f>IF(AND(G$14&lt;&gt;"",$AX$35="c"),Tech!AO$35,"")</f>
      </c>
      <c r="H94" s="86">
        <f>IF(AND(H$14&lt;&gt;"",$AX$35="c"),Tech!AP$35,"")</f>
      </c>
      <c r="I94" s="86">
        <f>IF(AND(I$14&lt;&gt;"",$AX$35="c"),Tech!AQ$35,"")</f>
      </c>
      <c r="J94" s="86">
        <f>IF(AND(J$14&lt;&gt;"",$AX$35="c"),Tech!AR$35,"")</f>
      </c>
      <c r="K94" s="86">
        <f>IF(AND(K$14&lt;&gt;"",$AX$35="c"),Tech!AS$35,"")</f>
      </c>
      <c r="L94" s="86">
        <f>IF(AND(L$14&lt;&gt;"",$AX$35="c"),Tech!AT$35,"")</f>
      </c>
      <c r="M94" s="86">
        <f>IF(AND(M$14&lt;&gt;"",$AX$35="c"),Tech!AU$35,"")</f>
      </c>
      <c r="N94" s="86">
        <f>IF(AND(N$14&lt;&gt;"",$AX$35="c"),Tech!AV$35,"")</f>
      </c>
    </row>
    <row r="95" spans="2:14" ht="12.75">
      <c r="B95" s="118"/>
      <c r="C95" s="122" t="s">
        <v>58</v>
      </c>
      <c r="D95" s="124">
        <f t="shared" si="33"/>
      </c>
      <c r="E95" s="86">
        <f>IF($AX$35="c",Tech!AY$35,"")</f>
      </c>
      <c r="F95" s="86">
        <f>IF($AX$35="c",Tech!AZ$35,"")</f>
      </c>
      <c r="G95" s="86">
        <f>IF(AND(G$14&lt;&gt;"",$AX$35="c"),Tech!BA$35,"")</f>
      </c>
      <c r="H95" s="86">
        <f>IF(AND(H$14&lt;&gt;"",$AX$35="c"),Tech!BB$35,"")</f>
      </c>
      <c r="I95" s="86">
        <f>IF(AND(I$14&lt;&gt;"",$AX$35="c"),Tech!BC$35,"")</f>
      </c>
      <c r="J95" s="86">
        <f>IF(AND(J$14&lt;&gt;"",$AX$35="c"),Tech!BD$35,"")</f>
      </c>
      <c r="K95" s="86">
        <f>IF(AND(K$14&lt;&gt;"",$AX$35="c"),Tech!BE$35,"")</f>
      </c>
      <c r="L95" s="86">
        <f>IF(AND(L$14&lt;&gt;"",$AX$35="c"),Tech!BF$35,"")</f>
      </c>
      <c r="M95" s="86">
        <f>IF(AND(M$14&lt;&gt;"",$AX$35="c"),Tech!BG$35,"")</f>
      </c>
      <c r="N95" s="86">
        <f>IF(AND(N$14&lt;&gt;"",$AX$35="c"),Tech!BH$35,"")</f>
      </c>
    </row>
    <row r="96" spans="2:14" ht="12.75">
      <c r="B96" s="118" t="str">
        <f>AS36</f>
        <v>---</v>
      </c>
      <c r="C96" s="119" t="s">
        <v>55</v>
      </c>
      <c r="D96" s="124">
        <f t="shared" si="33"/>
      </c>
      <c r="E96" s="86">
        <f>IF($AX$36="b",Tech!O$36,"")</f>
      </c>
      <c r="F96" s="86">
        <f>IF($AX$36="b",Tech!P$36,"")</f>
      </c>
      <c r="G96" s="86">
        <f>IF(AND(G$14&lt;&gt;"",$AX$36="b"),Tech!Q$36,"")</f>
      </c>
      <c r="H96" s="86">
        <f>IF(AND(H$14&lt;&gt;"",$AX$36="b"),Tech!R$36,"")</f>
      </c>
      <c r="I96" s="86">
        <f>IF(AND(I$14&lt;&gt;"",$AX$36="b"),Tech!S$36,"")</f>
      </c>
      <c r="J96" s="86">
        <f>IF(AND(J$14&lt;&gt;"",$AX$36="b"),Tech!T$36,"")</f>
      </c>
      <c r="K96" s="86">
        <f>IF(AND(K$14&lt;&gt;"",$AX$36="b"),Tech!U$36,"")</f>
      </c>
      <c r="L96" s="86">
        <f>IF(AND(L$14&lt;&gt;"",$AX$36="b"),Tech!V$36,"")</f>
      </c>
      <c r="M96" s="86">
        <f>IF(AND(M$14&lt;&gt;"",$AX$36="b"),Tech!W$36,"")</f>
      </c>
      <c r="N96" s="86">
        <f>IF(AND(N$14&lt;&gt;"",$AX$36="b"),Tech!X$36,"")</f>
      </c>
    </row>
    <row r="97" spans="2:14" ht="12.75">
      <c r="B97" s="118"/>
      <c r="C97" s="122" t="s">
        <v>56</v>
      </c>
      <c r="D97" s="124">
        <f t="shared" si="33"/>
      </c>
      <c r="E97" s="86">
        <f>IF($AX$36="c",Tech!AA$36,"")</f>
      </c>
      <c r="F97" s="86">
        <f>IF($AX$36="c",Tech!AB$36,"")</f>
      </c>
      <c r="G97" s="86">
        <f>IF(AND(G$14&lt;&gt;"",$AX$36="c"),Tech!AC$36,"")</f>
      </c>
      <c r="H97" s="86">
        <f>IF(AND(H$14&lt;&gt;"",$AX$36="c"),Tech!AD$36,"")</f>
      </c>
      <c r="I97" s="86">
        <f>IF(AND(I$14&lt;&gt;"",$AX$36="c"),Tech!AE$36,"")</f>
      </c>
      <c r="J97" s="86">
        <f>IF(AND(J$14&lt;&gt;"",$AX$36="c"),Tech!AF$36,"")</f>
      </c>
      <c r="K97" s="86">
        <f>IF(AND(K$14&lt;&gt;"",$AX$36="c"),Tech!AG$36,"")</f>
      </c>
      <c r="L97" s="86">
        <f>IF(AND(L$14&lt;&gt;"",$AX$36="c"),Tech!AH$36,"")</f>
      </c>
      <c r="M97" s="86">
        <f>IF(AND(M$14&lt;&gt;"",$AX$36="c"),Tech!AI$36,"")</f>
      </c>
      <c r="N97" s="86">
        <f>IF(AND(N$14&lt;&gt;"",$AX$36="c"),Tech!AJ$36,"")</f>
      </c>
    </row>
    <row r="98" spans="2:14" ht="12.75">
      <c r="B98" s="118"/>
      <c r="C98" s="122" t="s">
        <v>57</v>
      </c>
      <c r="D98" s="124">
        <f t="shared" si="33"/>
      </c>
      <c r="E98" s="86">
        <f>IF($AX$36="c",Tech!AM$36,"")</f>
      </c>
      <c r="F98" s="86">
        <f>IF($AX$36="c",Tech!AN$36,"")</f>
      </c>
      <c r="G98" s="86">
        <f>IF(AND(G$14&lt;&gt;"",$AX$36="c"),Tech!AO$36,"")</f>
      </c>
      <c r="H98" s="86">
        <f>IF(AND(H$14&lt;&gt;"",$AX$36="c"),Tech!AP$36,"")</f>
      </c>
      <c r="I98" s="86">
        <f>IF(AND(I$14&lt;&gt;"",$AX$36="c"),Tech!AQ$36,"")</f>
      </c>
      <c r="J98" s="86">
        <f>IF(AND(J$14&lt;&gt;"",$AX$36="c"),Tech!AR$36,"")</f>
      </c>
      <c r="K98" s="86">
        <f>IF(AND(K$14&lt;&gt;"",$AX$36="c"),Tech!AS$36,"")</f>
      </c>
      <c r="L98" s="86">
        <f>IF(AND(L$14&lt;&gt;"",$AX$36="c"),Tech!AT$36,"")</f>
      </c>
      <c r="M98" s="86">
        <f>IF(AND(M$14&lt;&gt;"",$AX$36="c"),Tech!AU$36,"")</f>
      </c>
      <c r="N98" s="86">
        <f>IF(AND(N$14&lt;&gt;"",$AX$36="c"),Tech!AV$36,"")</f>
      </c>
    </row>
    <row r="99" spans="2:14" ht="12.75">
      <c r="B99" s="118"/>
      <c r="C99" s="122" t="s">
        <v>58</v>
      </c>
      <c r="D99" s="124">
        <f t="shared" si="33"/>
      </c>
      <c r="E99" s="86">
        <f>IF($AX$36="c",Tech!AY$36,"")</f>
      </c>
      <c r="F99" s="86">
        <f>IF($AX$36="c",Tech!AZ$36,"")</f>
      </c>
      <c r="G99" s="86">
        <f>IF(AND(G$14&lt;&gt;"",$AX$36="c"),Tech!BA$36,"")</f>
      </c>
      <c r="H99" s="86">
        <f>IF(AND(H$14&lt;&gt;"",$AX$36="c"),Tech!BB$36,"")</f>
      </c>
      <c r="I99" s="86">
        <f>IF(AND(I$14&lt;&gt;"",$AX$36="c"),Tech!BC$36,"")</f>
      </c>
      <c r="J99" s="86">
        <f>IF(AND(J$14&lt;&gt;"",$AX$36="c"),Tech!BD$36,"")</f>
      </c>
      <c r="K99" s="86">
        <f>IF(AND(K$14&lt;&gt;"",$AX$36="c"),Tech!BE$36,"")</f>
      </c>
      <c r="L99" s="86">
        <f>IF(AND(L$14&lt;&gt;"",$AX$36="c"),Tech!BF$36,"")</f>
      </c>
      <c r="M99" s="86">
        <f>IF(AND(M$14&lt;&gt;"",$AX$36="c"),Tech!BG$36,"")</f>
      </c>
      <c r="N99" s="86">
        <f>IF(AND(N$14&lt;&gt;"",$AX$36="c"),Tech!BH$36,"")</f>
      </c>
    </row>
    <row r="100" spans="2:14" ht="12.75">
      <c r="B100" s="118" t="str">
        <f>AS37</f>
        <v>---</v>
      </c>
      <c r="C100" s="119" t="s">
        <v>55</v>
      </c>
      <c r="D100" s="124">
        <f t="shared" si="33"/>
      </c>
      <c r="E100" s="86">
        <f>IF($AX$37="b",Tech!O$37,"")</f>
      </c>
      <c r="F100" s="86">
        <f>IF($AX$37="b",Tech!P$37,"")</f>
      </c>
      <c r="G100" s="86">
        <f>IF(AND(G$14&lt;&gt;"",$AX$37="b"),Tech!Q$37,"")</f>
      </c>
      <c r="H100" s="86">
        <f>IF(AND(H$14&lt;&gt;"",$AX$37="b"),Tech!R$37,"")</f>
      </c>
      <c r="I100" s="86">
        <f>IF(AND(I$14&lt;&gt;"",$AX$37="b"),Tech!S$37,"")</f>
      </c>
      <c r="J100" s="86">
        <f>IF(AND(J$14&lt;&gt;"",$AX$37="b"),Tech!T$37,"")</f>
      </c>
      <c r="K100" s="86">
        <f>IF(AND(K$14&lt;&gt;"",$AX$37="b"),Tech!U$37,"")</f>
      </c>
      <c r="L100" s="86">
        <f>IF(AND(L$14&lt;&gt;"",$AX$37="b"),Tech!V$37,"")</f>
      </c>
      <c r="M100" s="86">
        <f>IF(AND(M$14&lt;&gt;"",$AX$37="b"),Tech!W$37,"")</f>
      </c>
      <c r="N100" s="86">
        <f>IF(AND(N$14&lt;&gt;"",$AX$37="b"),Tech!X$37,"")</f>
      </c>
    </row>
    <row r="101" spans="3:14" ht="12.75">
      <c r="C101" s="122" t="s">
        <v>56</v>
      </c>
      <c r="D101" s="124">
        <f t="shared" si="33"/>
      </c>
      <c r="E101" s="86">
        <f>IF($AX$37="c",Tech!AA$37,"")</f>
      </c>
      <c r="F101" s="86">
        <f>IF($AX$37="c",Tech!AB$37,"")</f>
      </c>
      <c r="G101" s="86">
        <f>IF(AND(G$14&lt;&gt;"",$AX$37="c"),Tech!AC$37,"")</f>
      </c>
      <c r="H101" s="86">
        <f>IF(AND(H$14&lt;&gt;"",$AX$37="c"),Tech!AD$37,"")</f>
      </c>
      <c r="I101" s="86">
        <f>IF(AND(I$14&lt;&gt;"",$AX$37="c"),Tech!AE$37,"")</f>
      </c>
      <c r="J101" s="86">
        <f>IF(AND(J$14&lt;&gt;"",$AX$37="c"),Tech!AF$37,"")</f>
      </c>
      <c r="K101" s="86">
        <f>IF(AND(K$14&lt;&gt;"",$AX$37="c"),Tech!AG$37,"")</f>
      </c>
      <c r="L101" s="86">
        <f>IF(AND(L$14&lt;&gt;"",$AX$37="c"),Tech!AH$37,"")</f>
      </c>
      <c r="M101" s="86">
        <f>IF(AND(M$14&lt;&gt;"",$AX$37="c"),Tech!AI$37,"")</f>
      </c>
      <c r="N101" s="86">
        <f>IF(AND(N$14&lt;&gt;"",$AX$37="c"),Tech!AJ$37,"")</f>
      </c>
    </row>
    <row r="102" spans="2:14" ht="12.75">
      <c r="B102" s="118"/>
      <c r="C102" s="122" t="s">
        <v>57</v>
      </c>
      <c r="D102" s="124">
        <f t="shared" si="33"/>
      </c>
      <c r="E102" s="86">
        <f>IF($AX$37="c",Tech!AM$37,"")</f>
      </c>
      <c r="F102" s="86">
        <f>IF($AX$37="c",Tech!AN$37,"")</f>
      </c>
      <c r="G102" s="86">
        <f>IF(AND(G$14&lt;&gt;"",$AX$37="c"),Tech!AO$37,"")</f>
      </c>
      <c r="H102" s="86">
        <f>IF(AND(H$14&lt;&gt;"",$AX$37="c"),Tech!AP$37,"")</f>
      </c>
      <c r="I102" s="86">
        <f>IF(AND(I$14&lt;&gt;"",$AX$37="c"),Tech!AQ$37,"")</f>
      </c>
      <c r="J102" s="86">
        <f>IF(AND(J$14&lt;&gt;"",$AX$37="c"),Tech!AR$37,"")</f>
      </c>
      <c r="K102" s="86">
        <f>IF(AND(K$14&lt;&gt;"",$AX$37="c"),Tech!AS$37,"")</f>
      </c>
      <c r="L102" s="86">
        <f>IF(AND(L$14&lt;&gt;"",$AX$37="c"),Tech!AT$37,"")</f>
      </c>
      <c r="M102" s="86">
        <f>IF(AND(M$14&lt;&gt;"",$AX$37="c"),Tech!AU$37,"")</f>
      </c>
      <c r="N102" s="86">
        <f>IF(AND(N$14&lt;&gt;"",$AX$37="c"),Tech!AV$37,"")</f>
      </c>
    </row>
    <row r="103" spans="2:14" ht="12.75">
      <c r="B103" s="118"/>
      <c r="C103" s="122" t="s">
        <v>58</v>
      </c>
      <c r="D103" s="124">
        <f t="shared" si="33"/>
      </c>
      <c r="E103" s="86">
        <f>IF($AX$37="c",Tech!AY$37,"")</f>
      </c>
      <c r="F103" s="86">
        <f>IF($AX$37="c",Tech!AZ$37,"")</f>
      </c>
      <c r="G103" s="86">
        <f>IF(AND(G$14&lt;&gt;"",$AX$37="c"),Tech!BA$37,"")</f>
      </c>
      <c r="H103" s="86">
        <f>IF(AND(H$14&lt;&gt;"",$AX$37="c"),Tech!BB$37,"")</f>
      </c>
      <c r="I103" s="86">
        <f>IF(AND(I$14&lt;&gt;"",$AX$37="c"),Tech!BC$37,"")</f>
      </c>
      <c r="J103" s="86">
        <f>IF(AND(J$14&lt;&gt;"",$AX$37="c"),Tech!BD$37,"")</f>
      </c>
      <c r="K103" s="86">
        <f>IF(AND(K$14&lt;&gt;"",$AX$37="c"),Tech!BE$37,"")</f>
      </c>
      <c r="L103" s="86">
        <f>IF(AND(L$14&lt;&gt;"",$AX$37="c"),Tech!BF$37,"")</f>
      </c>
      <c r="M103" s="86">
        <f>IF(AND(M$14&lt;&gt;"",$AX$37="c"),Tech!BG$37,"")</f>
      </c>
      <c r="N103" s="86">
        <f>IF(AND(N$14&lt;&gt;"",$AX$37="c"),Tech!BH$37,"")</f>
      </c>
    </row>
    <row r="104" spans="2:14" ht="12.75">
      <c r="B104" s="118" t="str">
        <f>AS38</f>
        <v>---</v>
      </c>
      <c r="C104" s="119" t="s">
        <v>55</v>
      </c>
      <c r="D104" s="124">
        <f t="shared" si="33"/>
      </c>
      <c r="E104" s="86">
        <f>IF($AX$38="b",Tech!O$38,"")</f>
      </c>
      <c r="F104" s="86">
        <f>IF($AX$38="b",Tech!P$38,"")</f>
      </c>
      <c r="G104" s="86">
        <f>IF(AND(G$14&lt;&gt;"",$AX$38="b"),Tech!Q$38,"")</f>
      </c>
      <c r="H104" s="86">
        <f>IF(AND(H$14&lt;&gt;"",$AX$38="b"),Tech!R$38,"")</f>
      </c>
      <c r="I104" s="86">
        <f>IF(AND(I$14&lt;&gt;"",$AX$38="b"),Tech!S$38,"")</f>
      </c>
      <c r="J104" s="86">
        <f>IF(AND(J$14&lt;&gt;"",$AX$38="b"),Tech!T$38,"")</f>
      </c>
      <c r="K104" s="86">
        <f>IF(AND(K$14&lt;&gt;"",$AX$38="b"),Tech!U$38,"")</f>
      </c>
      <c r="L104" s="86">
        <f>IF(AND(L$14&lt;&gt;"",$AX$38="b"),Tech!V$38,"")</f>
      </c>
      <c r="M104" s="86">
        <f>IF(AND(M$14&lt;&gt;"",$AX$38="b"),Tech!W$38,"")</f>
      </c>
      <c r="N104" s="86">
        <f>IF(AND(N$14&lt;&gt;"",$AX$38="b"),Tech!X$38,"")</f>
      </c>
    </row>
    <row r="105" spans="2:14" ht="12.75">
      <c r="B105" s="118"/>
      <c r="C105" s="122" t="s">
        <v>56</v>
      </c>
      <c r="D105" s="124">
        <f t="shared" si="33"/>
      </c>
      <c r="E105" s="86">
        <f>IF($AX$38="c",Tech!AA$38,"")</f>
      </c>
      <c r="F105" s="86">
        <f>IF($AX$38="c",Tech!AB$38,"")</f>
      </c>
      <c r="G105" s="86">
        <f>IF(AND(G$14&lt;&gt;"",$AX$38="c"),Tech!AC$38,"")</f>
      </c>
      <c r="H105" s="86">
        <f>IF(AND(H$14&lt;&gt;"",$AX$38="c"),Tech!AD$38,"")</f>
      </c>
      <c r="I105" s="86">
        <f>IF(AND(I$14&lt;&gt;"",$AX$38="c"),Tech!AE$38,"")</f>
      </c>
      <c r="J105" s="86">
        <f>IF(AND(J$14&lt;&gt;"",$AX$38="c"),Tech!AF$38,"")</f>
      </c>
      <c r="K105" s="86">
        <f>IF(AND(K$14&lt;&gt;"",$AX$38="c"),Tech!AG$38,"")</f>
      </c>
      <c r="L105" s="86">
        <f>IF(AND(L$14&lt;&gt;"",$AX$38="c"),Tech!AH$38,"")</f>
      </c>
      <c r="M105" s="86">
        <f>IF(AND(M$14&lt;&gt;"",$AX$38="c"),Tech!AI$38,"")</f>
      </c>
      <c r="N105" s="86">
        <f>IF(AND(N$14&lt;&gt;"",$AX$38="c"),Tech!AJ$38,"")</f>
      </c>
    </row>
    <row r="106" spans="3:14" ht="12.75">
      <c r="C106" s="122" t="s">
        <v>57</v>
      </c>
      <c r="D106" s="124">
        <f t="shared" si="33"/>
      </c>
      <c r="E106" s="86">
        <f>IF($AX$38="c",Tech!AM$38,"")</f>
      </c>
      <c r="F106" s="86">
        <f>IF($AX$38="c",Tech!AN$38,"")</f>
      </c>
      <c r="G106" s="86">
        <f>IF(AND(G$14&lt;&gt;"",$AX$38="c"),Tech!AO$38,"")</f>
      </c>
      <c r="H106" s="86">
        <f>IF(AND(H$14&lt;&gt;"",$AX$38="c"),Tech!AP$38,"")</f>
      </c>
      <c r="I106" s="86">
        <f>IF(AND(I$14&lt;&gt;"",$AX$38="c"),Tech!AQ$38,"")</f>
      </c>
      <c r="J106" s="86">
        <f>IF(AND(J$14&lt;&gt;"",$AX$38="c"),Tech!AR$38,"")</f>
      </c>
      <c r="K106" s="86">
        <f>IF(AND(K$14&lt;&gt;"",$AX$38="c"),Tech!AS$38,"")</f>
      </c>
      <c r="L106" s="86">
        <f>IF(AND(L$14&lt;&gt;"",$AX$38="c"),Tech!AT$38,"")</f>
      </c>
      <c r="M106" s="86">
        <f>IF(AND(M$14&lt;&gt;"",$AX$38="c"),Tech!AU$38,"")</f>
      </c>
      <c r="N106" s="86">
        <f>IF(AND(N$14&lt;&gt;"",$AX$38="c"),Tech!AV$38,"")</f>
      </c>
    </row>
    <row r="107" spans="2:14" ht="12.75">
      <c r="B107" s="118"/>
      <c r="C107" s="122" t="s">
        <v>58</v>
      </c>
      <c r="D107" s="124">
        <f t="shared" si="33"/>
      </c>
      <c r="E107" s="86">
        <f>IF($AX$38="c",Tech!AY$38,"")</f>
      </c>
      <c r="F107" s="86">
        <f>IF($AX$38="c",Tech!AZ$38,"")</f>
      </c>
      <c r="G107" s="86">
        <f>IF(AND(G$14&lt;&gt;"",$AX$38="c"),Tech!BA$38,"")</f>
      </c>
      <c r="H107" s="86">
        <f>IF(AND(H$14&lt;&gt;"",$AX$38="c"),Tech!BB$38,"")</f>
      </c>
      <c r="I107" s="86">
        <f>IF(AND(I$14&lt;&gt;"",$AX$38="c"),Tech!BC$38,"")</f>
      </c>
      <c r="J107" s="86">
        <f>IF(AND(J$14&lt;&gt;"",$AX$38="c"),Tech!BD$38,"")</f>
      </c>
      <c r="K107" s="86">
        <f>IF(AND(K$14&lt;&gt;"",$AX$38="c"),Tech!BE$38,"")</f>
      </c>
      <c r="L107" s="86">
        <f>IF(AND(L$14&lt;&gt;"",$AX$38="c"),Tech!BF$38,"")</f>
      </c>
      <c r="M107" s="86">
        <f>IF(AND(M$14&lt;&gt;"",$AX$38="c"),Tech!BG$38,"")</f>
      </c>
      <c r="N107" s="86">
        <f>IF(AND(N$14&lt;&gt;"",$AX$38="c"),Tech!BH$38,"")</f>
      </c>
    </row>
    <row r="108" spans="2:14" ht="12.75">
      <c r="B108" s="118" t="str">
        <f>AS39</f>
        <v>---</v>
      </c>
      <c r="C108" s="119" t="s">
        <v>55</v>
      </c>
      <c r="D108" s="124">
        <f t="shared" si="33"/>
      </c>
      <c r="E108" s="86">
        <f>IF($AX$39="b",Tech!O$39,"")</f>
      </c>
      <c r="F108" s="86">
        <f>IF($AX$39="b",Tech!P$39,"")</f>
      </c>
      <c r="G108" s="86">
        <f>IF(AND(G$14&lt;&gt;"",$AX$39="b"),Tech!Q$39,"")</f>
      </c>
      <c r="H108" s="86">
        <f>IF(AND(H$14&lt;&gt;"",$AX$39="b"),Tech!R$39,"")</f>
      </c>
      <c r="I108" s="86">
        <f>IF(AND(I$14&lt;&gt;"",$AX$39="b"),Tech!S$39,"")</f>
      </c>
      <c r="J108" s="86">
        <f>IF(AND(J$14&lt;&gt;"",$AX$39="b"),Tech!T$39,"")</f>
      </c>
      <c r="K108" s="86">
        <f>IF(AND(K$14&lt;&gt;"",$AX$39="b"),Tech!U$39,"")</f>
      </c>
      <c r="L108" s="86">
        <f>IF(AND(L$14&lt;&gt;"",$AX$39="b"),Tech!V$39,"")</f>
      </c>
      <c r="M108" s="86">
        <f>IF(AND(M$14&lt;&gt;"",$AX$39="b"),Tech!W$39,"")</f>
      </c>
      <c r="N108" s="86">
        <f>IF(AND(N$14&lt;&gt;"",$AX$39="b"),Tech!X$39,"")</f>
      </c>
    </row>
    <row r="109" spans="2:14" ht="12.75">
      <c r="B109" s="118"/>
      <c r="C109" s="122" t="s">
        <v>56</v>
      </c>
      <c r="D109" s="124">
        <f t="shared" si="33"/>
      </c>
      <c r="E109" s="86">
        <f>IF($AX$39="c",Tech!AA$39,"")</f>
      </c>
      <c r="F109" s="86">
        <f>IF($AX$39="c",Tech!AB$39,"")</f>
      </c>
      <c r="G109" s="86">
        <f>IF(AND(G$14&lt;&gt;"",$AX$39="c"),Tech!AC$39,"")</f>
      </c>
      <c r="H109" s="86">
        <f>IF(AND(H$14&lt;&gt;"",$AX$39="c"),Tech!AD$39,"")</f>
      </c>
      <c r="I109" s="86">
        <f>IF(AND(I$14&lt;&gt;"",$AX$39="c"),Tech!AE$39,"")</f>
      </c>
      <c r="J109" s="86">
        <f>IF(AND(J$14&lt;&gt;"",$AX$39="c"),Tech!AF$39,"")</f>
      </c>
      <c r="K109" s="86">
        <f>IF(AND(K$14&lt;&gt;"",$AX$39="c"),Tech!AG$39,"")</f>
      </c>
      <c r="L109" s="86">
        <f>IF(AND(L$14&lt;&gt;"",$AX$39="c"),Tech!AH$39,"")</f>
      </c>
      <c r="M109" s="86">
        <f>IF(AND(M$14&lt;&gt;"",$AX$39="c"),Tech!AI$39,"")</f>
      </c>
      <c r="N109" s="86">
        <f>IF(AND(N$14&lt;&gt;"",$AX$39="c"),Tech!AJ$39,"")</f>
      </c>
    </row>
    <row r="110" spans="2:14" ht="12.75">
      <c r="B110" s="118"/>
      <c r="C110" s="122" t="s">
        <v>57</v>
      </c>
      <c r="D110" s="124">
        <f t="shared" si="33"/>
      </c>
      <c r="E110" s="86">
        <f>IF($AX$39="c",Tech!AM$39,"")</f>
      </c>
      <c r="F110" s="86">
        <f>IF($AX$39="c",Tech!AN$39,"")</f>
      </c>
      <c r="G110" s="86">
        <f>IF(AND(G$14&lt;&gt;"",$AX$39="c"),Tech!AO$39,"")</f>
      </c>
      <c r="H110" s="86">
        <f>IF(AND(H$14&lt;&gt;"",$AX$39="c"),Tech!AP$39,"")</f>
      </c>
      <c r="I110" s="86">
        <f>IF(AND(I$14&lt;&gt;"",$AX$39="c"),Tech!AQ$39,"")</f>
      </c>
      <c r="J110" s="86">
        <f>IF(AND(J$14&lt;&gt;"",$AX$39="c"),Tech!AR$39,"")</f>
      </c>
      <c r="K110" s="86">
        <f>IF(AND(K$14&lt;&gt;"",$AX$39="c"),Tech!AS$39,"")</f>
      </c>
      <c r="L110" s="86">
        <f>IF(AND(L$14&lt;&gt;"",$AX$39="c"),Tech!AT$39,"")</f>
      </c>
      <c r="M110" s="86">
        <f>IF(AND(M$14&lt;&gt;"",$AX$39="c"),Tech!AU$39,"")</f>
      </c>
      <c r="N110" s="86">
        <f>IF(AND(N$14&lt;&gt;"",$AX$39="c"),Tech!AV$39,"")</f>
      </c>
    </row>
    <row r="111" spans="3:14" ht="12.75">
      <c r="C111" s="122" t="s">
        <v>58</v>
      </c>
      <c r="D111" s="124">
        <f t="shared" si="33"/>
      </c>
      <c r="E111" s="86">
        <f>IF($AX$39="c",Tech!AY$39,"")</f>
      </c>
      <c r="F111" s="86">
        <f>IF($AX$39="c",Tech!AZ$39,"")</f>
      </c>
      <c r="G111" s="86">
        <f>IF(AND(G$14&lt;&gt;"",$AX$39="c"),Tech!BA$39,"")</f>
      </c>
      <c r="H111" s="86">
        <f>IF(AND(H$14&lt;&gt;"",$AX$39="c"),Tech!BB$39,"")</f>
      </c>
      <c r="I111" s="86">
        <f>IF(AND(I$14&lt;&gt;"",$AX$39="c"),Tech!BC$39,"")</f>
      </c>
      <c r="J111" s="86">
        <f>IF(AND(J$14&lt;&gt;"",$AX$39="c"),Tech!BD$39,"")</f>
      </c>
      <c r="K111" s="86">
        <f>IF(AND(K$14&lt;&gt;"",$AX$39="c"),Tech!BE$39,"")</f>
      </c>
      <c r="L111" s="86">
        <f>IF(AND(L$14&lt;&gt;"",$AX$39="c"),Tech!BF$39,"")</f>
      </c>
      <c r="M111" s="86">
        <f>IF(AND(M$14&lt;&gt;"",$AX$39="c"),Tech!BG$39,"")</f>
      </c>
      <c r="N111" s="86">
        <f>IF(AND(N$14&lt;&gt;"",$AX$39="c"),Tech!BH$39,"")</f>
      </c>
    </row>
    <row r="112" spans="2:14" ht="12.75">
      <c r="B112" s="118" t="str">
        <f>AS40</f>
        <v>---</v>
      </c>
      <c r="C112" s="119" t="s">
        <v>55</v>
      </c>
      <c r="D112" s="124">
        <f t="shared" si="33"/>
      </c>
      <c r="E112" s="86">
        <f>IF($AX$40="b",Tech!O$40,"")</f>
      </c>
      <c r="F112" s="86">
        <f>IF($AX$40="b",Tech!P$40,"")</f>
      </c>
      <c r="G112" s="86">
        <f>IF(AND(G$14&lt;&gt;"",$AX$40="b"),Tech!Q$40,"")</f>
      </c>
      <c r="H112" s="86">
        <f>IF(AND(H$14&lt;&gt;"",$AX$40="b"),Tech!R$40,"")</f>
      </c>
      <c r="I112" s="86">
        <f>IF(AND(I$14&lt;&gt;"",$AX$40="b"),Tech!S$40,"")</f>
      </c>
      <c r="J112" s="86">
        <f>IF(AND(J$14&lt;&gt;"",$AX$40="b"),Tech!T$40,"")</f>
      </c>
      <c r="K112" s="86">
        <f>IF(AND(K$14&lt;&gt;"",$AX$40="b"),Tech!U$40,"")</f>
      </c>
      <c r="L112" s="86">
        <f>IF(AND(L$14&lt;&gt;"",$AX$40="b"),Tech!V$40,"")</f>
      </c>
      <c r="M112" s="86">
        <f>IF(AND(M$14&lt;&gt;"",$AX$40="b"),Tech!W$40,"")</f>
      </c>
      <c r="N112" s="86">
        <f>IF(AND(N$14&lt;&gt;"",$AX$40="b"),Tech!X$40,"")</f>
      </c>
    </row>
    <row r="113" spans="2:14" ht="12.75">
      <c r="B113" s="118"/>
      <c r="C113" s="122" t="s">
        <v>56</v>
      </c>
      <c r="D113" s="124">
        <f t="shared" si="33"/>
      </c>
      <c r="E113" s="86">
        <f>IF($AX$40="c",Tech!AA$40,"")</f>
      </c>
      <c r="F113" s="86">
        <f>IF($AX$40="c",Tech!AB$40,"")</f>
      </c>
      <c r="G113" s="86">
        <f>IF(AND(G$14&lt;&gt;"",$AX$40="c"),Tech!AC$40,"")</f>
      </c>
      <c r="H113" s="86">
        <f>IF(AND(H$14&lt;&gt;"",$AX$40="c"),Tech!AD$40,"")</f>
      </c>
      <c r="I113" s="86">
        <f>IF(AND(I$14&lt;&gt;"",$AX$40="c"),Tech!AE$40,"")</f>
      </c>
      <c r="J113" s="86">
        <f>IF(AND(J$14&lt;&gt;"",$AX$40="c"),Tech!AF$40,"")</f>
      </c>
      <c r="K113" s="86">
        <f>IF(AND(K$14&lt;&gt;"",$AX$40="c"),Tech!AG$40,"")</f>
      </c>
      <c r="L113" s="86">
        <f>IF(AND(L$14&lt;&gt;"",$AX$40="c"),Tech!AH$40,"")</f>
      </c>
      <c r="M113" s="86">
        <f>IF(AND(M$14&lt;&gt;"",$AX$40="c"),Tech!AI$40,"")</f>
      </c>
      <c r="N113" s="86">
        <f>IF(AND(N$14&lt;&gt;"",$AX$40="c"),Tech!AJ$40,"")</f>
      </c>
    </row>
    <row r="114" spans="2:14" ht="12.75">
      <c r="B114" s="118"/>
      <c r="C114" s="122" t="s">
        <v>57</v>
      </c>
      <c r="D114" s="124">
        <f t="shared" si="33"/>
      </c>
      <c r="E114" s="86">
        <f>IF($AX$40="c",Tech!AM$40,"")</f>
      </c>
      <c r="F114" s="86">
        <f>IF($AX$40="c",Tech!AN$40,"")</f>
      </c>
      <c r="G114" s="86">
        <f>IF(AND(G$14&lt;&gt;"",$AX$40="c"),Tech!AO$40,"")</f>
      </c>
      <c r="H114" s="86">
        <f>IF(AND(H$14&lt;&gt;"",$AX$40="c"),Tech!AP$40,"")</f>
      </c>
      <c r="I114" s="86">
        <f>IF(AND(I$14&lt;&gt;"",$AX$40="c"),Tech!AQ$40,"")</f>
      </c>
      <c r="J114" s="86">
        <f>IF(AND(J$14&lt;&gt;"",$AX$40="c"),Tech!AR$40,"")</f>
      </c>
      <c r="K114" s="86">
        <f>IF(AND(K$14&lt;&gt;"",$AX$40="c"),Tech!AS$40,"")</f>
      </c>
      <c r="L114" s="86">
        <f>IF(AND(L$14&lt;&gt;"",$AX$40="c"),Tech!AT$40,"")</f>
      </c>
      <c r="M114" s="86">
        <f>IF(AND(M$14&lt;&gt;"",$AX$40="c"),Tech!AU$40,"")</f>
      </c>
      <c r="N114" s="86">
        <f>IF(AND(N$14&lt;&gt;"",$AX$40="c"),Tech!AV$40,"")</f>
      </c>
    </row>
    <row r="115" spans="2:14" ht="12.75">
      <c r="B115" s="118"/>
      <c r="C115" s="122" t="s">
        <v>58</v>
      </c>
      <c r="D115" s="124">
        <f t="shared" si="33"/>
      </c>
      <c r="E115" s="86">
        <f>IF($AX$40="c",Tech!AY$40,"")</f>
      </c>
      <c r="F115" s="86">
        <f>IF($AX$40="c",Tech!AZ$40,"")</f>
      </c>
      <c r="G115" s="86">
        <f>IF(AND(G$14&lt;&gt;"",$AX$40="c"),Tech!BA$40,"")</f>
      </c>
      <c r="H115" s="86">
        <f>IF(AND(H$14&lt;&gt;"",$AX$40="c"),Tech!BB$40,"")</f>
      </c>
      <c r="I115" s="86">
        <f>IF(AND(I$14&lt;&gt;"",$AX$40="c"),Tech!BC$40,"")</f>
      </c>
      <c r="J115" s="86">
        <f>IF(AND(J$14&lt;&gt;"",$AX$40="c"),Tech!BD$40,"")</f>
      </c>
      <c r="K115" s="86">
        <f>IF(AND(K$14&lt;&gt;"",$AX$40="c"),Tech!BE$40,"")</f>
      </c>
      <c r="L115" s="86">
        <f>IF(AND(L$14&lt;&gt;"",$AX$40="c"),Tech!BF$40,"")</f>
      </c>
      <c r="M115" s="86">
        <f>IF(AND(M$14&lt;&gt;"",$AX$40="c"),Tech!BG$40,"")</f>
      </c>
      <c r="N115" s="86">
        <f>IF(AND(N$14&lt;&gt;"",$AX$40="c"),Tech!BH$40,"")</f>
      </c>
    </row>
    <row r="116" spans="2:14" ht="12.75">
      <c r="B116" s="118" t="str">
        <f>AS41</f>
        <v>---</v>
      </c>
      <c r="C116" s="119" t="s">
        <v>55</v>
      </c>
      <c r="D116" s="124">
        <f t="shared" si="33"/>
      </c>
      <c r="E116" s="86">
        <f>IF($AX$41="b",Tech!O$41,"")</f>
      </c>
      <c r="F116" s="86">
        <f>IF($AX$41="b",Tech!P$41,"")</f>
      </c>
      <c r="G116" s="86">
        <f>IF(AND(G$14&lt;&gt;"",$AX$41="b"),Tech!Q$41,"")</f>
      </c>
      <c r="H116" s="86">
        <f>IF(AND(H$14&lt;&gt;"",$AX$41="b"),Tech!R$41,"")</f>
      </c>
      <c r="I116" s="86">
        <f>IF(AND(I$14&lt;&gt;"",$AX$41="b"),Tech!S$41,"")</f>
      </c>
      <c r="J116" s="86">
        <f>IF(AND(J$14&lt;&gt;"",$AX$41="b"),Tech!T$41,"")</f>
      </c>
      <c r="K116" s="86">
        <f>IF(AND(K$14&lt;&gt;"",$AX$41="b"),Tech!U$41,"")</f>
      </c>
      <c r="L116" s="86">
        <f>IF(AND(L$14&lt;&gt;"",$AX$41="b"),Tech!V$41,"")</f>
      </c>
      <c r="M116" s="86">
        <f>IF(AND(M$14&lt;&gt;"",$AX$41="b"),Tech!W$41,"")</f>
      </c>
      <c r="N116" s="86">
        <f>IF(AND(N$14&lt;&gt;"",$AX$41="b"),Tech!X$41,"")</f>
      </c>
    </row>
    <row r="117" spans="2:14" ht="12.75">
      <c r="B117" s="118"/>
      <c r="C117" s="122" t="s">
        <v>56</v>
      </c>
      <c r="D117" s="124">
        <f t="shared" si="33"/>
      </c>
      <c r="E117" s="86">
        <f>IF($AX$41="c",Tech!AA$41,"")</f>
      </c>
      <c r="F117" s="86">
        <f>IF($AX$41="c",Tech!AB$41,"")</f>
      </c>
      <c r="G117" s="86">
        <f>IF(AND(G$14&lt;&gt;"",$AX$41="c"),Tech!AC$41,"")</f>
      </c>
      <c r="H117" s="86">
        <f>IF(AND(H$14&lt;&gt;"",$AX$41="c"),Tech!AD$41,"")</f>
      </c>
      <c r="I117" s="86">
        <f>IF(AND(I$14&lt;&gt;"",$AX$41="c"),Tech!AE$41,"")</f>
      </c>
      <c r="J117" s="86">
        <f>IF(AND(J$14&lt;&gt;"",$AX$41="c"),Tech!AF$41,"")</f>
      </c>
      <c r="K117" s="86">
        <f>IF(AND(K$14&lt;&gt;"",$AX$41="c"),Tech!AG$41,"")</f>
      </c>
      <c r="L117" s="86">
        <f>IF(AND(L$14&lt;&gt;"",$AX$41="c"),Tech!AH$41,"")</f>
      </c>
      <c r="M117" s="86">
        <f>IF(AND(M$14&lt;&gt;"",$AX$41="c"),Tech!AI$41,"")</f>
      </c>
      <c r="N117" s="86">
        <f>IF(AND(N$14&lt;&gt;"",$AX$41="c"),Tech!AJ$41,"")</f>
      </c>
    </row>
    <row r="118" spans="2:14" ht="12.75">
      <c r="B118" s="118"/>
      <c r="C118" s="122" t="s">
        <v>57</v>
      </c>
      <c r="D118" s="124">
        <f t="shared" si="33"/>
      </c>
      <c r="E118" s="86">
        <f>IF($AX$41="c",Tech!AM$41,"")</f>
      </c>
      <c r="F118" s="86">
        <f>IF($AX$41="c",Tech!AN$41,"")</f>
      </c>
      <c r="G118" s="86">
        <f>IF(AND(G$14&lt;&gt;"",$AX$41="c"),Tech!AO$41,"")</f>
      </c>
      <c r="H118" s="86">
        <f>IF(AND(H$14&lt;&gt;"",$AX$41="c"),Tech!AP$41,"")</f>
      </c>
      <c r="I118" s="86">
        <f>IF(AND(I$14&lt;&gt;"",$AX$41="c"),Tech!AQ$41,"")</f>
      </c>
      <c r="J118" s="86">
        <f>IF(AND(J$14&lt;&gt;"",$AX$41="c"),Tech!AR$41,"")</f>
      </c>
      <c r="K118" s="86">
        <f>IF(AND(K$14&lt;&gt;"",$AX$41="c"),Tech!AS$41,"")</f>
      </c>
      <c r="L118" s="86">
        <f>IF(AND(L$14&lt;&gt;"",$AX$41="c"),Tech!AT$41,"")</f>
      </c>
      <c r="M118" s="86">
        <f>IF(AND(M$14&lt;&gt;"",$AX$41="c"),Tech!AU$41,"")</f>
      </c>
      <c r="N118" s="86">
        <f>IF(AND(N$14&lt;&gt;"",$AX$41="c"),Tech!AV$41,"")</f>
      </c>
    </row>
    <row r="119" spans="2:14" ht="12.75">
      <c r="B119" s="118"/>
      <c r="C119" s="122" t="s">
        <v>58</v>
      </c>
      <c r="D119" s="124">
        <f t="shared" si="33"/>
      </c>
      <c r="E119" s="86">
        <f>IF($AX$41="c",Tech!AY$41,"")</f>
      </c>
      <c r="F119" s="86">
        <f>IF($AX$41="c",Tech!AZ$41,"")</f>
      </c>
      <c r="G119" s="86">
        <f>IF(AND(G$14&lt;&gt;"",$AX$41="c"),Tech!BA$41,"")</f>
      </c>
      <c r="H119" s="86">
        <f>IF(AND(H$14&lt;&gt;"",$AX$41="c"),Tech!BB$41,"")</f>
      </c>
      <c r="I119" s="86">
        <f>IF(AND(I$14&lt;&gt;"",$AX$41="c"),Tech!BC$41,"")</f>
      </c>
      <c r="J119" s="86">
        <f>IF(AND(J$14&lt;&gt;"",$AX$41="c"),Tech!BD$41,"")</f>
      </c>
      <c r="K119" s="86">
        <f>IF(AND(K$14&lt;&gt;"",$AX$41="c"),Tech!BE$41,"")</f>
      </c>
      <c r="L119" s="86">
        <f>IF(AND(L$14&lt;&gt;"",$AX$41="c"),Tech!BF$41,"")</f>
      </c>
      <c r="M119" s="86">
        <f>IF(AND(M$14&lt;&gt;"",$AX$41="c"),Tech!BG$41,"")</f>
      </c>
      <c r="N119" s="86">
        <f>IF(AND(N$14&lt;&gt;"",$AX$41="c"),Tech!BH$41,"")</f>
      </c>
    </row>
    <row r="120" spans="2:14" ht="12.75">
      <c r="B120" s="118" t="str">
        <f>AS42</f>
        <v>---</v>
      </c>
      <c r="C120" s="119" t="s">
        <v>55</v>
      </c>
      <c r="D120" s="124">
        <f t="shared" si="33"/>
      </c>
      <c r="E120" s="86">
        <f>IF($AX$42="b",Tech!O$42,"")</f>
      </c>
      <c r="F120" s="86">
        <f>IF($AX$42="b",Tech!P$42,"")</f>
      </c>
      <c r="G120" s="86">
        <f>IF(AND(G$14&lt;&gt;"",$AX$42="b"),Tech!Q$42,"")</f>
      </c>
      <c r="H120" s="86">
        <f>IF(AND(H$14&lt;&gt;"",$AX$42="b"),Tech!R$42,"")</f>
      </c>
      <c r="I120" s="86">
        <f>IF(AND(I$14&lt;&gt;"",$AX$42="b"),Tech!S$42,"")</f>
      </c>
      <c r="J120" s="86">
        <f>IF(AND(J$14&lt;&gt;"",$AX$42="b"),Tech!T$42,"")</f>
      </c>
      <c r="K120" s="86">
        <f>IF(AND(K$14&lt;&gt;"",$AX$42="b"),Tech!U$42,"")</f>
      </c>
      <c r="L120" s="86">
        <f>IF(AND(L$14&lt;&gt;"",$AX$42="b"),Tech!V$42,"")</f>
      </c>
      <c r="M120" s="86">
        <f>IF(AND(M$14&lt;&gt;"",$AX$42="b"),Tech!W$42,"")</f>
      </c>
      <c r="N120" s="86">
        <f>IF(AND(N$14&lt;&gt;"",$AX$42="b"),Tech!X$42,"")</f>
      </c>
    </row>
    <row r="121" spans="3:14" ht="12.75">
      <c r="C121" s="122" t="s">
        <v>56</v>
      </c>
      <c r="D121" s="124">
        <f t="shared" si="33"/>
      </c>
      <c r="E121" s="86">
        <f>IF($AX$42="c",Tech!AA$42,"")</f>
      </c>
      <c r="F121" s="86">
        <f>IF($AX$42="c",Tech!AB$42,"")</f>
      </c>
      <c r="G121" s="86">
        <f>IF(AND(G$14&lt;&gt;"",$AX$42="c"),Tech!AC$42,"")</f>
      </c>
      <c r="H121" s="86">
        <f>IF(AND(H$14&lt;&gt;"",$AX$42="c"),Tech!AD$42,"")</f>
      </c>
      <c r="I121" s="86">
        <f>IF(AND(I$14&lt;&gt;"",$AX$42="c"),Tech!AE$42,"")</f>
      </c>
      <c r="J121" s="86">
        <f>IF(AND(J$14&lt;&gt;"",$AX$42="c"),Tech!AF$42,"")</f>
      </c>
      <c r="K121" s="86">
        <f>IF(AND(K$14&lt;&gt;"",$AX$42="c"),Tech!AG$42,"")</f>
      </c>
      <c r="L121" s="86">
        <f>IF(AND(L$14&lt;&gt;"",$AX$42="c"),Tech!AH$42,"")</f>
      </c>
      <c r="M121" s="86">
        <f>IF(AND(M$14&lt;&gt;"",$AX$42="c"),Tech!AI$42,"")</f>
      </c>
      <c r="N121" s="86">
        <f>IF(AND(N$14&lt;&gt;"",$AX$42="c"),Tech!AJ$42,"")</f>
      </c>
    </row>
    <row r="122" spans="2:14" ht="12.75">
      <c r="B122" s="118"/>
      <c r="C122" s="122" t="s">
        <v>57</v>
      </c>
      <c r="D122" s="124">
        <f t="shared" si="33"/>
      </c>
      <c r="E122" s="86">
        <f>IF($AX$42="c",Tech!AM$42,"")</f>
      </c>
      <c r="F122" s="86">
        <f>IF($AX$42="c",Tech!AN$42,"")</f>
      </c>
      <c r="G122" s="86">
        <f>IF(AND(G$14&lt;&gt;"",$AX$42="c"),Tech!AO$42,"")</f>
      </c>
      <c r="H122" s="86">
        <f>IF(AND(H$14&lt;&gt;"",$AX$42="c"),Tech!AP$42,"")</f>
      </c>
      <c r="I122" s="86">
        <f>IF(AND(I$14&lt;&gt;"",$AX$42="c"),Tech!AQ$42,"")</f>
      </c>
      <c r="J122" s="86">
        <f>IF(AND(J$14&lt;&gt;"",$AX$42="c"),Tech!AR$42,"")</f>
      </c>
      <c r="K122" s="86">
        <f>IF(AND(K$14&lt;&gt;"",$AX$42="c"),Tech!AS$42,"")</f>
      </c>
      <c r="L122" s="86">
        <f>IF(AND(L$14&lt;&gt;"",$AX$42="c"),Tech!AT$42,"")</f>
      </c>
      <c r="M122" s="86">
        <f>IF(AND(M$14&lt;&gt;"",$AX$42="c"),Tech!AU$42,"")</f>
      </c>
      <c r="N122" s="86">
        <f>IF(AND(N$14&lt;&gt;"",$AX$42="c"),Tech!AV$42,"")</f>
      </c>
    </row>
    <row r="123" spans="2:14" ht="12.75">
      <c r="B123" s="118"/>
      <c r="C123" s="122" t="s">
        <v>58</v>
      </c>
      <c r="D123" s="124">
        <f t="shared" si="33"/>
      </c>
      <c r="E123" s="86">
        <f>IF($AX$42="c",Tech!AY$42,"")</f>
      </c>
      <c r="F123" s="86">
        <f>IF($AX$42="c",Tech!AZ$42,"")</f>
      </c>
      <c r="G123" s="86">
        <f>IF(AND(G$14&lt;&gt;"",$AX$42="c"),Tech!BA$42,"")</f>
      </c>
      <c r="H123" s="86">
        <f>IF(AND(H$14&lt;&gt;"",$AX$42="c"),Tech!BB$42,"")</f>
      </c>
      <c r="I123" s="86">
        <f>IF(AND(I$14&lt;&gt;"",$AX$42="c"),Tech!BC$42,"")</f>
      </c>
      <c r="J123" s="86">
        <f>IF(AND(J$14&lt;&gt;"",$AX$42="c"),Tech!BD$42,"")</f>
      </c>
      <c r="K123" s="86">
        <f>IF(AND(K$14&lt;&gt;"",$AX$42="c"),Tech!BE$42,"")</f>
      </c>
      <c r="L123" s="86">
        <f>IF(AND(L$14&lt;&gt;"",$AX$42="c"),Tech!BF$42,"")</f>
      </c>
      <c r="M123" s="86">
        <f>IF(AND(M$14&lt;&gt;"",$AX$42="c"),Tech!BG$42,"")</f>
      </c>
      <c r="N123" s="86">
        <f>IF(AND(N$14&lt;&gt;"",$AX$42="c"),Tech!BH$42,"")</f>
      </c>
    </row>
    <row r="124" spans="2:14" ht="12.75">
      <c r="B124" s="118" t="str">
        <f>AS43</f>
        <v>---</v>
      </c>
      <c r="C124" s="119" t="s">
        <v>55</v>
      </c>
      <c r="D124" s="124">
        <f t="shared" si="33"/>
      </c>
      <c r="E124" s="86">
        <f>IF($AX$43="b",Tech!O$43,"")</f>
      </c>
      <c r="F124" s="86">
        <f>IF($AX$43="b",Tech!P$43,"")</f>
      </c>
      <c r="G124" s="86">
        <f>IF(AND(G$14&lt;&gt;"",$AX$43="b"),Tech!Q$43,"")</f>
      </c>
      <c r="H124" s="86">
        <f>IF(AND(H$14&lt;&gt;"",$AX$43="b"),Tech!R$43,"")</f>
      </c>
      <c r="I124" s="86">
        <f>IF(AND(I$14&lt;&gt;"",$AX$43="b"),Tech!S$43,"")</f>
      </c>
      <c r="J124" s="86">
        <f>IF(AND(J$14&lt;&gt;"",$AX$43="b"),Tech!T$43,"")</f>
      </c>
      <c r="K124" s="86">
        <f>IF(AND(K$14&lt;&gt;"",$AX$43="b"),Tech!U$43,"")</f>
      </c>
      <c r="L124" s="86">
        <f>IF(AND(L$14&lt;&gt;"",$AX$43="b"),Tech!V$43,"")</f>
      </c>
      <c r="M124" s="86">
        <f>IF(AND(M$14&lt;&gt;"",$AX$43="b"),Tech!W$43,"")</f>
      </c>
      <c r="N124" s="86">
        <f>IF(AND(N$14&lt;&gt;"",$AX$43="b"),Tech!X$43,"")</f>
      </c>
    </row>
    <row r="125" spans="2:14" ht="12.75">
      <c r="B125" s="118"/>
      <c r="C125" s="122" t="s">
        <v>56</v>
      </c>
      <c r="D125" s="124">
        <f t="shared" si="33"/>
      </c>
      <c r="E125" s="86">
        <f>IF($AX$43="c",Tech!AA$43,"")</f>
      </c>
      <c r="F125" s="86">
        <f>IF($AX$43="c",Tech!AB$43,"")</f>
      </c>
      <c r="G125" s="86">
        <f>IF(AND(G$14&lt;&gt;"",$AX$43="c"),Tech!AC$43,"")</f>
      </c>
      <c r="H125" s="86">
        <f>IF(AND(H$14&lt;&gt;"",$AX$43="c"),Tech!AD$43,"")</f>
      </c>
      <c r="I125" s="86">
        <f>IF(AND(I$14&lt;&gt;"",$AX$43="c"),Tech!AE$43,"")</f>
      </c>
      <c r="J125" s="86">
        <f>IF(AND(J$14&lt;&gt;"",$AX$43="c"),Tech!AF$43,"")</f>
      </c>
      <c r="K125" s="86">
        <f>IF(AND(K$14&lt;&gt;"",$AX$43="c"),Tech!AG$43,"")</f>
      </c>
      <c r="L125" s="86">
        <f>IF(AND(L$14&lt;&gt;"",$AX$43="c"),Tech!AH$43,"")</f>
      </c>
      <c r="M125" s="86">
        <f>IF(AND(M$14&lt;&gt;"",$AX$43="c"),Tech!AI$43,"")</f>
      </c>
      <c r="N125" s="86">
        <f>IF(AND(N$14&lt;&gt;"",$AX$43="c"),Tech!AJ$43,"")</f>
      </c>
    </row>
    <row r="126" spans="3:14" ht="12.75">
      <c r="C126" s="122" t="s">
        <v>57</v>
      </c>
      <c r="D126" s="124">
        <f t="shared" si="33"/>
      </c>
      <c r="E126" s="86">
        <f>IF($AX$43="c",Tech!AM$43,"")</f>
      </c>
      <c r="F126" s="86">
        <f>IF($AX$43="c",Tech!AN$43,"")</f>
      </c>
      <c r="G126" s="86">
        <f>IF(AND(G$14&lt;&gt;"",$AX$43="c"),Tech!AO$43,"")</f>
      </c>
      <c r="H126" s="86">
        <f>IF(AND(H$14&lt;&gt;"",$AX$43="c"),Tech!AP$43,"")</f>
      </c>
      <c r="I126" s="86">
        <f>IF(AND(I$14&lt;&gt;"",$AX$43="c"),Tech!AQ$43,"")</f>
      </c>
      <c r="J126" s="86">
        <f>IF(AND(J$14&lt;&gt;"",$AX$43="c"),Tech!AR$43,"")</f>
      </c>
      <c r="K126" s="86">
        <f>IF(AND(K$14&lt;&gt;"",$AX$43="c"),Tech!AS$43,"")</f>
      </c>
      <c r="L126" s="86">
        <f>IF(AND(L$14&lt;&gt;"",$AX$43="c"),Tech!AT$43,"")</f>
      </c>
      <c r="M126" s="86">
        <f>IF(AND(M$14&lt;&gt;"",$AX$43="c"),Tech!AU$43,"")</f>
      </c>
      <c r="N126" s="86">
        <f>IF(AND(N$14&lt;&gt;"",$AX$43="c"),Tech!AV$43,"")</f>
      </c>
    </row>
    <row r="127" spans="2:14" ht="12.75">
      <c r="B127" s="118"/>
      <c r="C127" s="122" t="s">
        <v>58</v>
      </c>
      <c r="D127" s="124">
        <f t="shared" si="33"/>
      </c>
      <c r="E127" s="86">
        <f>IF($AX$43="c",Tech!AY$43,"")</f>
      </c>
      <c r="F127" s="86">
        <f>IF($AX$43="c",Tech!AZ$43,"")</f>
      </c>
      <c r="G127" s="86">
        <f>IF(AND(G$14&lt;&gt;"",$AX$43="c"),Tech!BA$43,"")</f>
      </c>
      <c r="H127" s="86">
        <f>IF(AND(H$14&lt;&gt;"",$AX$43="c"),Tech!BB$43,"")</f>
      </c>
      <c r="I127" s="86">
        <f>IF(AND(I$14&lt;&gt;"",$AX$43="c"),Tech!BC$43,"")</f>
      </c>
      <c r="J127" s="86">
        <f>IF(AND(J$14&lt;&gt;"",$AX$43="c"),Tech!BD$43,"")</f>
      </c>
      <c r="K127" s="86">
        <f>IF(AND(K$14&lt;&gt;"",$AX$43="c"),Tech!BE$43,"")</f>
      </c>
      <c r="L127" s="86">
        <f>IF(AND(L$14&lt;&gt;"",$AX$43="c"),Tech!BF$43,"")</f>
      </c>
      <c r="M127" s="86">
        <f>IF(AND(M$14&lt;&gt;"",$AX$43="c"),Tech!BG$43,"")</f>
      </c>
      <c r="N127" s="86">
        <f>IF(AND(N$14&lt;&gt;"",$AX$43="c"),Tech!BH$43,"")</f>
      </c>
    </row>
    <row r="128" spans="2:14" ht="12.75">
      <c r="B128" s="118" t="str">
        <f>AS44</f>
        <v>---</v>
      </c>
      <c r="C128" s="119" t="s">
        <v>55</v>
      </c>
      <c r="D128" s="124">
        <f t="shared" si="33"/>
      </c>
      <c r="E128" s="86">
        <f>IF($AX$44="b",Tech!O$44,"")</f>
      </c>
      <c r="F128" s="86">
        <f>IF($AX$44="b",Tech!P$44,"")</f>
      </c>
      <c r="G128" s="86">
        <f>IF(AND(G$14&lt;&gt;"",$AX$44="b"),Tech!Q$44,"")</f>
      </c>
      <c r="H128" s="86">
        <f>IF(AND(H$14&lt;&gt;"",$AX$44="b"),Tech!R$44,"")</f>
      </c>
      <c r="I128" s="86">
        <f>IF(AND(I$14&lt;&gt;"",$AX$44="b"),Tech!S$44,"")</f>
      </c>
      <c r="J128" s="86">
        <f>IF(AND(J$14&lt;&gt;"",$AX$44="b"),Tech!T$44,"")</f>
      </c>
      <c r="K128" s="86">
        <f>IF(AND(K$14&lt;&gt;"",$AX$44="b"),Tech!U$44,"")</f>
      </c>
      <c r="L128" s="86">
        <f>IF(AND(L$14&lt;&gt;"",$AX$44="b"),Tech!V$44,"")</f>
      </c>
      <c r="M128" s="86">
        <f>IF(AND(M$14&lt;&gt;"",$AX$44="b"),Tech!W$44,"")</f>
      </c>
      <c r="N128" s="86">
        <f>IF(AND(N$14&lt;&gt;"",$AX$44="b"),Tech!X$44,"")</f>
      </c>
    </row>
    <row r="129" spans="2:14" ht="12.75">
      <c r="B129" s="118"/>
      <c r="C129" s="122" t="s">
        <v>56</v>
      </c>
      <c r="D129" s="124">
        <f t="shared" si="33"/>
      </c>
      <c r="E129" s="86">
        <f>IF($AX$44="c",Tech!AA$44,"")</f>
      </c>
      <c r="F129" s="86">
        <f>IF($AX$44="c",Tech!AB$44,"")</f>
      </c>
      <c r="G129" s="86">
        <f>IF(AND(G$14&lt;&gt;"",$AX$44="c"),Tech!AC$44,"")</f>
      </c>
      <c r="H129" s="86">
        <f>IF(AND(H$14&lt;&gt;"",$AX$44="c"),Tech!AD$44,"")</f>
      </c>
      <c r="I129" s="86">
        <f>IF(AND(I$14&lt;&gt;"",$AX$44="c"),Tech!AE$44,"")</f>
      </c>
      <c r="J129" s="86">
        <f>IF(AND(J$14&lt;&gt;"",$AX$44="c"),Tech!AF$44,"")</f>
      </c>
      <c r="K129" s="86">
        <f>IF(AND(K$14&lt;&gt;"",$AX$44="c"),Tech!AG$44,"")</f>
      </c>
      <c r="L129" s="86">
        <f>IF(AND(L$14&lt;&gt;"",$AX$44="c"),Tech!AH$44,"")</f>
      </c>
      <c r="M129" s="86">
        <f>IF(AND(M$14&lt;&gt;"",$AX$44="c"),Tech!AI$44,"")</f>
      </c>
      <c r="N129" s="86">
        <f>IF(AND(N$14&lt;&gt;"",$AX$44="c"),Tech!AJ$44,"")</f>
      </c>
    </row>
    <row r="130" spans="2:14" ht="12.75">
      <c r="B130" s="118"/>
      <c r="C130" s="122" t="s">
        <v>57</v>
      </c>
      <c r="D130" s="124">
        <f t="shared" si="33"/>
      </c>
      <c r="E130" s="86">
        <f>IF($AX$44="c",Tech!AM$44,"")</f>
      </c>
      <c r="F130" s="86">
        <f>IF($AX$44="c",Tech!AN$44,"")</f>
      </c>
      <c r="G130" s="86">
        <f>IF(AND(G$14&lt;&gt;"",$AX$44="c"),Tech!AO$44,"")</f>
      </c>
      <c r="H130" s="86">
        <f>IF(AND(H$14&lt;&gt;"",$AX$44="c"),Tech!AP$44,"")</f>
      </c>
      <c r="I130" s="86">
        <f>IF(AND(I$14&lt;&gt;"",$AX$44="c"),Tech!AQ$44,"")</f>
      </c>
      <c r="J130" s="86">
        <f>IF(AND(J$14&lt;&gt;"",$AX$44="c"),Tech!AR$44,"")</f>
      </c>
      <c r="K130" s="86">
        <f>IF(AND(K$14&lt;&gt;"",$AX$44="c"),Tech!AS$44,"")</f>
      </c>
      <c r="L130" s="86">
        <f>IF(AND(L$14&lt;&gt;"",$AX$44="c"),Tech!AT$44,"")</f>
      </c>
      <c r="M130" s="86">
        <f>IF(AND(M$14&lt;&gt;"",$AX$44="c"),Tech!AU$44,"")</f>
      </c>
      <c r="N130" s="86">
        <f>IF(AND(N$14&lt;&gt;"",$AX$44="c"),Tech!AV$44,"")</f>
      </c>
    </row>
    <row r="131" spans="3:14" ht="12.75">
      <c r="C131" s="122" t="s">
        <v>58</v>
      </c>
      <c r="D131" s="124">
        <f t="shared" si="33"/>
      </c>
      <c r="E131" s="86">
        <f>IF($AX$44="c",Tech!AY$44,"")</f>
      </c>
      <c r="F131" s="86">
        <f>IF($AX$44="c",Tech!AZ$44,"")</f>
      </c>
      <c r="G131" s="86">
        <f>IF(AND(G$14&lt;&gt;"",$AX$44="c"),Tech!BA$44,"")</f>
      </c>
      <c r="H131" s="86">
        <f>IF(AND(H$14&lt;&gt;"",$AX$44="c"),Tech!BB$44,"")</f>
      </c>
      <c r="I131" s="86">
        <f>IF(AND(I$14&lt;&gt;"",$AX$44="c"),Tech!BC$44,"")</f>
      </c>
      <c r="J131" s="86">
        <f>IF(AND(J$14&lt;&gt;"",$AX$44="c"),Tech!BD$44,"")</f>
      </c>
      <c r="K131" s="86">
        <f>IF(AND(K$14&lt;&gt;"",$AX$44="c"),Tech!BE$44,"")</f>
      </c>
      <c r="L131" s="86">
        <f>IF(AND(L$14&lt;&gt;"",$AX$44="c"),Tech!BF$44,"")</f>
      </c>
      <c r="M131" s="86">
        <f>IF(AND(M$14&lt;&gt;"",$AX$44="c"),Tech!BG$44,"")</f>
      </c>
      <c r="N131" s="86">
        <f>IF(AND(N$14&lt;&gt;"",$AX$44="c"),Tech!BH$44,"")</f>
      </c>
    </row>
    <row r="132" spans="2:14" ht="12.75">
      <c r="B132" s="118" t="str">
        <f>AS45</f>
        <v>---</v>
      </c>
      <c r="C132" s="119" t="s">
        <v>55</v>
      </c>
      <c r="D132" s="124">
        <f t="shared" si="33"/>
      </c>
      <c r="E132" s="86">
        <f>IF($AX$45="b",Tech!O$45,"")</f>
      </c>
      <c r="F132" s="86">
        <f>IF($AX$45="b",Tech!P$45,"")</f>
      </c>
      <c r="G132" s="86">
        <f>IF(AND(G$14&lt;&gt;"",$AX$45="b"),Tech!Q$45,"")</f>
      </c>
      <c r="H132" s="86">
        <f>IF(AND(H$14&lt;&gt;"",$AX$45="b"),Tech!R$45,"")</f>
      </c>
      <c r="I132" s="86">
        <f>IF(AND(I$14&lt;&gt;"",$AX$45="b"),Tech!S$45,"")</f>
      </c>
      <c r="J132" s="86">
        <f>IF(AND(J$14&lt;&gt;"",$AX$45="b"),Tech!T$45,"")</f>
      </c>
      <c r="K132" s="86">
        <f>IF(AND(K$14&lt;&gt;"",$AX$45="b"),Tech!U$45,"")</f>
      </c>
      <c r="L132" s="86">
        <f>IF(AND(L$14&lt;&gt;"",$AX$45="b"),Tech!V$45,"")</f>
      </c>
      <c r="M132" s="86">
        <f>IF(AND(M$14&lt;&gt;"",$AX$45="b"),Tech!W$45,"")</f>
      </c>
      <c r="N132" s="86">
        <f>IF(AND(N$14&lt;&gt;"",$AX$45="b"),Tech!X$45,"")</f>
      </c>
    </row>
    <row r="133" spans="2:14" ht="12.75">
      <c r="B133" s="118"/>
      <c r="C133" s="122" t="s">
        <v>56</v>
      </c>
      <c r="D133" s="124">
        <f t="shared" si="33"/>
      </c>
      <c r="E133" s="86">
        <f>IF($AX$45="c",Tech!AA$45,"")</f>
      </c>
      <c r="F133" s="86">
        <f>IF($AX$45="c",Tech!AB$45,"")</f>
      </c>
      <c r="G133" s="86">
        <f>IF(AND(G$14&lt;&gt;"",$AX$45="c"),Tech!AC$45,"")</f>
      </c>
      <c r="H133" s="86">
        <f>IF(AND(H$14&lt;&gt;"",$AX$45="c"),Tech!AD$45,"")</f>
      </c>
      <c r="I133" s="86">
        <f>IF(AND(I$14&lt;&gt;"",$AX$45="c"),Tech!AE$45,"")</f>
      </c>
      <c r="J133" s="86">
        <f>IF(AND(J$14&lt;&gt;"",$AX$45="c"),Tech!AF$45,"")</f>
      </c>
      <c r="K133" s="86">
        <f>IF(AND(K$14&lt;&gt;"",$AX$45="c"),Tech!AG$45,"")</f>
      </c>
      <c r="L133" s="86">
        <f>IF(AND(L$14&lt;&gt;"",$AX$45="c"),Tech!AH$45,"")</f>
      </c>
      <c r="M133" s="86">
        <f>IF(AND(M$14&lt;&gt;"",$AX$45="c"),Tech!AI$45,"")</f>
      </c>
      <c r="N133" s="86">
        <f>IF(AND(N$14&lt;&gt;"",$AX$45="c"),Tech!AJ$45,"")</f>
      </c>
    </row>
    <row r="134" spans="2:14" ht="12.75">
      <c r="B134" s="118"/>
      <c r="C134" s="122" t="s">
        <v>57</v>
      </c>
      <c r="D134" s="124">
        <f t="shared" si="33"/>
      </c>
      <c r="E134" s="86">
        <f>IF($AX$45="c",Tech!AM$45,"")</f>
      </c>
      <c r="F134" s="86">
        <f>IF($AX$45="c",Tech!AN$45,"")</f>
      </c>
      <c r="G134" s="86">
        <f>IF(AND(G$14&lt;&gt;"",$AX$45="c"),Tech!AO$45,"")</f>
      </c>
      <c r="H134" s="86">
        <f>IF(AND(H$14&lt;&gt;"",$AX$45="c"),Tech!AP$45,"")</f>
      </c>
      <c r="I134" s="86">
        <f>IF(AND(I$14&lt;&gt;"",$AX$45="c"),Tech!AQ$45,"")</f>
      </c>
      <c r="J134" s="86">
        <f>IF(AND(J$14&lt;&gt;"",$AX$45="c"),Tech!AR$45,"")</f>
      </c>
      <c r="K134" s="86">
        <f>IF(AND(K$14&lt;&gt;"",$AX$45="c"),Tech!AS$45,"")</f>
      </c>
      <c r="L134" s="86">
        <f>IF(AND(L$14&lt;&gt;"",$AX$45="c"),Tech!AT$45,"")</f>
      </c>
      <c r="M134" s="86">
        <f>IF(AND(M$14&lt;&gt;"",$AX$45="c"),Tech!AU$45,"")</f>
      </c>
      <c r="N134" s="86">
        <f>IF(AND(N$14&lt;&gt;"",$AX$45="c"),Tech!AV$45,"")</f>
      </c>
    </row>
    <row r="135" spans="2:14" ht="12.75">
      <c r="B135" s="118"/>
      <c r="C135" s="122" t="s">
        <v>58</v>
      </c>
      <c r="D135" s="124">
        <f t="shared" si="33"/>
      </c>
      <c r="E135" s="86">
        <f>IF($AX$45="c",Tech!AY$45,"")</f>
      </c>
      <c r="F135" s="86">
        <f>IF($AX$45="c",Tech!AZ$45,"")</f>
      </c>
      <c r="G135" s="86">
        <f>IF(AND(G$14&lt;&gt;"",$AX$45="c"),Tech!BA$45,"")</f>
      </c>
      <c r="H135" s="86">
        <f>IF(AND(H$14&lt;&gt;"",$AX$45="c"),Tech!BB$45,"")</f>
      </c>
      <c r="I135" s="86">
        <f>IF(AND(I$14&lt;&gt;"",$AX$45="c"),Tech!BC$45,"")</f>
      </c>
      <c r="J135" s="86">
        <f>IF(AND(J$14&lt;&gt;"",$AX$45="c"),Tech!BD$45,"")</f>
      </c>
      <c r="K135" s="86">
        <f>IF(AND(K$14&lt;&gt;"",$AX$45="c"),Tech!BE$45,"")</f>
      </c>
      <c r="L135" s="86">
        <f>IF(AND(L$14&lt;&gt;"",$AX$45="c"),Tech!BF$45,"")</f>
      </c>
      <c r="M135" s="86">
        <f>IF(AND(M$14&lt;&gt;"",$AX$45="c"),Tech!BG$45,"")</f>
      </c>
      <c r="N135" s="86">
        <f>IF(AND(N$14&lt;&gt;"",$AX$45="c"),Tech!BH$45,"")</f>
      </c>
    </row>
    <row r="136" spans="2:14" ht="12.75">
      <c r="B136" s="118" t="str">
        <f>AS46</f>
        <v>---</v>
      </c>
      <c r="C136" s="119" t="s">
        <v>55</v>
      </c>
      <c r="D136" s="124">
        <f t="shared" si="33"/>
      </c>
      <c r="E136" s="86">
        <f>IF($AX$46="b",Tech!O$46,"")</f>
      </c>
      <c r="F136" s="86">
        <f>IF($AX$46="b",Tech!P$46,"")</f>
      </c>
      <c r="G136" s="86">
        <f>IF(AND(G$14&lt;&gt;"",$AX$46="b"),Tech!Q$46,"")</f>
      </c>
      <c r="H136" s="86">
        <f>IF(AND(H$14&lt;&gt;"",$AX$46="b"),Tech!R$46,"")</f>
      </c>
      <c r="I136" s="86">
        <f>IF(AND(I$14&lt;&gt;"",$AX$46="b"),Tech!S$46,"")</f>
      </c>
      <c r="J136" s="86">
        <f>IF(AND(J$14&lt;&gt;"",$AX$46="b"),Tech!T$46,"")</f>
      </c>
      <c r="K136" s="86">
        <f>IF(AND(K$14&lt;&gt;"",$AX$46="b"),Tech!U$46,"")</f>
      </c>
      <c r="L136" s="86">
        <f>IF(AND(L$14&lt;&gt;"",$AX$46="b"),Tech!V$46,"")</f>
      </c>
      <c r="M136" s="86">
        <f>IF(AND(M$14&lt;&gt;"",$AX$46="b"),Tech!W$46,"")</f>
      </c>
      <c r="N136" s="86">
        <f>IF(AND(N$14&lt;&gt;"",$AX$46="b"),Tech!X$46,"")</f>
      </c>
    </row>
    <row r="137" spans="2:14" ht="12.75">
      <c r="B137" s="118"/>
      <c r="C137" s="122" t="s">
        <v>56</v>
      </c>
      <c r="D137" s="124">
        <f t="shared" si="33"/>
      </c>
      <c r="E137" s="86">
        <f>IF($AX$46="c",Tech!AA$46,"")</f>
      </c>
      <c r="F137" s="86">
        <f>IF($AX$46="c",Tech!AB$46,"")</f>
      </c>
      <c r="G137" s="86">
        <f>IF(AND(G$14&lt;&gt;"",$AX$46="c"),Tech!AC$46,"")</f>
      </c>
      <c r="H137" s="86">
        <f>IF(AND(H$14&lt;&gt;"",$AX$46="c"),Tech!AD$46,"")</f>
      </c>
      <c r="I137" s="86">
        <f>IF(AND(I$14&lt;&gt;"",$AX$46="c"),Tech!AE$46,"")</f>
      </c>
      <c r="J137" s="86">
        <f>IF(AND(J$14&lt;&gt;"",$AX$46="c"),Tech!AF$46,"")</f>
      </c>
      <c r="K137" s="86">
        <f>IF(AND(K$14&lt;&gt;"",$AX$46="c"),Tech!AG$46,"")</f>
      </c>
      <c r="L137" s="86">
        <f>IF(AND(L$14&lt;&gt;"",$AX$46="c"),Tech!AH$46,"")</f>
      </c>
      <c r="M137" s="86">
        <f>IF(AND(M$14&lt;&gt;"",$AX$46="c"),Tech!AI$46,"")</f>
      </c>
      <c r="N137" s="86">
        <f>IF(AND(N$14&lt;&gt;"",$AX$46="c"),Tech!AJ$46,"")</f>
      </c>
    </row>
    <row r="138" spans="2:14" ht="12.75">
      <c r="B138" s="118"/>
      <c r="C138" s="122" t="s">
        <v>57</v>
      </c>
      <c r="D138" s="124">
        <f t="shared" si="33"/>
      </c>
      <c r="E138" s="86">
        <f>IF($AX$46="c",Tech!AM$46,"")</f>
      </c>
      <c r="F138" s="86">
        <f>IF($AX$46="c",Tech!AN$46,"")</f>
      </c>
      <c r="G138" s="86">
        <f>IF(AND(G$14&lt;&gt;"",$AX$46="c"),Tech!AO$46,"")</f>
      </c>
      <c r="H138" s="86">
        <f>IF(AND(H$14&lt;&gt;"",$AX$46="c"),Tech!AP$46,"")</f>
      </c>
      <c r="I138" s="86">
        <f>IF(AND(I$14&lt;&gt;"",$AX$46="c"),Tech!AQ$46,"")</f>
      </c>
      <c r="J138" s="86">
        <f>IF(AND(J$14&lt;&gt;"",$AX$46="c"),Tech!AR$46,"")</f>
      </c>
      <c r="K138" s="86">
        <f>IF(AND(K$14&lt;&gt;"",$AX$46="c"),Tech!AS$46,"")</f>
      </c>
      <c r="L138" s="86">
        <f>IF(AND(L$14&lt;&gt;"",$AX$46="c"),Tech!AT$46,"")</f>
      </c>
      <c r="M138" s="86">
        <f>IF(AND(M$14&lt;&gt;"",$AX$46="c"),Tech!AU$46,"")</f>
      </c>
      <c r="N138" s="86">
        <f>IF(AND(N$14&lt;&gt;"",$AX$46="c"),Tech!AV$46,"")</f>
      </c>
    </row>
    <row r="139" spans="2:14" ht="12.75">
      <c r="B139" s="118"/>
      <c r="C139" s="122" t="s">
        <v>58</v>
      </c>
      <c r="D139" s="124">
        <f t="shared" si="33"/>
      </c>
      <c r="E139" s="86">
        <f>IF($AX$46="c",Tech!AY$46,"")</f>
      </c>
      <c r="F139" s="86">
        <f>IF($AX$46="c",Tech!AZ$46,"")</f>
      </c>
      <c r="G139" s="86">
        <f>IF(AND(G$14&lt;&gt;"",$AX$46="c"),Tech!BA$46,"")</f>
      </c>
      <c r="H139" s="86">
        <f>IF(AND(H$14&lt;&gt;"",$AX$46="c"),Tech!BB$46,"")</f>
      </c>
      <c r="I139" s="86">
        <f>IF(AND(I$14&lt;&gt;"",$AX$46="c"),Tech!BC$46,"")</f>
      </c>
      <c r="J139" s="86">
        <f>IF(AND(J$14&lt;&gt;"",$AX$46="c"),Tech!BD$46,"")</f>
      </c>
      <c r="K139" s="86">
        <f>IF(AND(K$14&lt;&gt;"",$AX$46="c"),Tech!BE$46,"")</f>
      </c>
      <c r="L139" s="86">
        <f>IF(AND(L$14&lt;&gt;"",$AX$46="c"),Tech!BF$46,"")</f>
      </c>
      <c r="M139" s="86">
        <f>IF(AND(M$14&lt;&gt;"",$AX$46="c"),Tech!BG$46,"")</f>
      </c>
      <c r="N139" s="86">
        <f>IF(AND(N$14&lt;&gt;"",$AX$46="c"),Tech!BH$46,"")</f>
      </c>
    </row>
    <row r="140" spans="2:14" ht="12.75">
      <c r="B140" s="118" t="str">
        <f>AS47</f>
        <v>---</v>
      </c>
      <c r="C140" s="119" t="s">
        <v>55</v>
      </c>
      <c r="D140" s="124">
        <f t="shared" si="33"/>
      </c>
      <c r="E140" s="86">
        <f>IF($AX$47="b",Tech!O$47,"")</f>
      </c>
      <c r="F140" s="86">
        <f>IF($AX$47="b",Tech!P$47,"")</f>
      </c>
      <c r="G140" s="86">
        <f>IF(AND(G$14&lt;&gt;"",$AX$47="b"),Tech!Q$47,"")</f>
      </c>
      <c r="H140" s="86">
        <f>IF(AND(H$14&lt;&gt;"",$AX$47="b"),Tech!R$47,"")</f>
      </c>
      <c r="I140" s="86">
        <f>IF(AND(I$14&lt;&gt;"",$AX$47="b"),Tech!S$47,"")</f>
      </c>
      <c r="J140" s="86">
        <f>IF(AND(J$14&lt;&gt;"",$AX$47="b"),Tech!T$47,"")</f>
      </c>
      <c r="K140" s="86">
        <f>IF(AND(K$14&lt;&gt;"",$AX$47="b"),Tech!U$47,"")</f>
      </c>
      <c r="L140" s="86">
        <f>IF(AND(L$14&lt;&gt;"",$AX$47="b"),Tech!V$47,"")</f>
      </c>
      <c r="M140" s="86">
        <f>IF(AND(M$14&lt;&gt;"",$AX$47="b"),Tech!W$47,"")</f>
      </c>
      <c r="N140" s="86">
        <f>IF(AND(N$14&lt;&gt;"",$AX$47="b"),Tech!X$47,"")</f>
      </c>
    </row>
    <row r="141" spans="3:14" ht="12.75">
      <c r="C141" s="122" t="s">
        <v>56</v>
      </c>
      <c r="D141" s="124">
        <f t="shared" si="33"/>
      </c>
      <c r="E141" s="86">
        <f>IF($AX$47="c",Tech!AA$47,"")</f>
      </c>
      <c r="F141" s="86">
        <f>IF($AX$47="c",Tech!AB$47,"")</f>
      </c>
      <c r="G141" s="86">
        <f>IF(AND(G$14&lt;&gt;"",$AX$47="c"),Tech!AC$47,"")</f>
      </c>
      <c r="H141" s="86">
        <f>IF(AND(H$14&lt;&gt;"",$AX$47="c"),Tech!AD$47,"")</f>
      </c>
      <c r="I141" s="86">
        <f>IF(AND(I$14&lt;&gt;"",$AX$47="c"),Tech!AE$47,"")</f>
      </c>
      <c r="J141" s="86">
        <f>IF(AND(J$14&lt;&gt;"",$AX$47="c"),Tech!AF$47,"")</f>
      </c>
      <c r="K141" s="86">
        <f>IF(AND(K$14&lt;&gt;"",$AX$47="c"),Tech!AG$47,"")</f>
      </c>
      <c r="L141" s="86">
        <f>IF(AND(L$14&lt;&gt;"",$AX$47="c"),Tech!AH$47,"")</f>
      </c>
      <c r="M141" s="86">
        <f>IF(AND(M$14&lt;&gt;"",$AX$47="c"),Tech!AI$47,"")</f>
      </c>
      <c r="N141" s="86">
        <f>IF(AND(N$14&lt;&gt;"",$AX$47="c"),Tech!AJ$47,"")</f>
      </c>
    </row>
    <row r="142" spans="2:14" ht="12.75">
      <c r="B142" s="118"/>
      <c r="C142" s="122" t="s">
        <v>57</v>
      </c>
      <c r="D142" s="124">
        <f t="shared" si="33"/>
      </c>
      <c r="E142" s="86">
        <f>IF($AX$47="c",Tech!AM$47,"")</f>
      </c>
      <c r="F142" s="86">
        <f>IF($AX$47="c",Tech!AN$47,"")</f>
      </c>
      <c r="G142" s="86">
        <f>IF(AND(G$14&lt;&gt;"",$AX$47="c"),Tech!AO$47,"")</f>
      </c>
      <c r="H142" s="86">
        <f>IF(AND(H$14&lt;&gt;"",$AX$47="c"),Tech!AP$47,"")</f>
      </c>
      <c r="I142" s="86">
        <f>IF(AND(I$14&lt;&gt;"",$AX$47="c"),Tech!AQ$47,"")</f>
      </c>
      <c r="J142" s="86">
        <f>IF(AND(J$14&lt;&gt;"",$AX$47="c"),Tech!AR$47,"")</f>
      </c>
      <c r="K142" s="86">
        <f>IF(AND(K$14&lt;&gt;"",$AX$47="c"),Tech!AS$47,"")</f>
      </c>
      <c r="L142" s="86">
        <f>IF(AND(L$14&lt;&gt;"",$AX$47="c"),Tech!AT$47,"")</f>
      </c>
      <c r="M142" s="86">
        <f>IF(AND(M$14&lt;&gt;"",$AX$47="c"),Tech!AU$47,"")</f>
      </c>
      <c r="N142" s="86">
        <f>IF(AND(N$14&lt;&gt;"",$AX$47="c"),Tech!AV$47,"")</f>
      </c>
    </row>
    <row r="143" spans="2:14" ht="12.75">
      <c r="B143" s="118"/>
      <c r="C143" s="122" t="s">
        <v>58</v>
      </c>
      <c r="D143" s="124">
        <f t="shared" si="33"/>
      </c>
      <c r="E143" s="86">
        <f>IF($AX$47="c",Tech!AY$47,"")</f>
      </c>
      <c r="F143" s="86">
        <f>IF($AX$47="c",Tech!AZ$47,"")</f>
      </c>
      <c r="G143" s="86">
        <f>IF(AND(G$14&lt;&gt;"",$AX$47="c"),Tech!BA$47,"")</f>
      </c>
      <c r="H143" s="86">
        <f>IF(AND(H$14&lt;&gt;"",$AX$47="c"),Tech!BB$47,"")</f>
      </c>
      <c r="I143" s="86">
        <f>IF(AND(I$14&lt;&gt;"",$AX$47="c"),Tech!BC$47,"")</f>
      </c>
      <c r="J143" s="86">
        <f>IF(AND(J$14&lt;&gt;"",$AX$47="c"),Tech!BD$47,"")</f>
      </c>
      <c r="K143" s="86">
        <f>IF(AND(K$14&lt;&gt;"",$AX$47="c"),Tech!BE$47,"")</f>
      </c>
      <c r="L143" s="86">
        <f>IF(AND(L$14&lt;&gt;"",$AX$47="c"),Tech!BF$47,"")</f>
      </c>
      <c r="M143" s="86">
        <f>IF(AND(M$14&lt;&gt;"",$AX$47="c"),Tech!BG$47,"")</f>
      </c>
      <c r="N143" s="86">
        <f>IF(AND(N$14&lt;&gt;"",$AX$47="c"),Tech!BH$47,"")</f>
      </c>
    </row>
    <row r="144" spans="2:14" ht="12.75">
      <c r="B144" s="118" t="str">
        <f>AS48</f>
        <v>---</v>
      </c>
      <c r="C144" s="119" t="s">
        <v>55</v>
      </c>
      <c r="D144" s="124">
        <f t="shared" si="33"/>
      </c>
      <c r="E144" s="86">
        <f>IF($AX$48="b",Tech!O$48,"")</f>
      </c>
      <c r="F144" s="86">
        <f>IF($AX$48="b",Tech!P$48,"")</f>
      </c>
      <c r="G144" s="86">
        <f>IF(AND(G$14&lt;&gt;"",$AX$48="b"),Tech!Q$48,"")</f>
      </c>
      <c r="H144" s="86">
        <f>IF(AND(H$14&lt;&gt;"",$AX$48="b"),Tech!R$48,"")</f>
      </c>
      <c r="I144" s="86">
        <f>IF(AND(I$14&lt;&gt;"",$AX$48="b"),Tech!S$48,"")</f>
      </c>
      <c r="J144" s="86">
        <f>IF(AND(J$14&lt;&gt;"",$AX$48="b"),Tech!T$48,"")</f>
      </c>
      <c r="K144" s="86">
        <f>IF(AND(K$14&lt;&gt;"",$AX$48="b"),Tech!U$48,"")</f>
      </c>
      <c r="L144" s="86">
        <f>IF(AND(L$14&lt;&gt;"",$AX$48="b"),Tech!V$48,"")</f>
      </c>
      <c r="M144" s="86">
        <f>IF(AND(M$14&lt;&gt;"",$AX$48="b"),Tech!W$48,"")</f>
      </c>
      <c r="N144" s="86">
        <f>IF(AND(N$14&lt;&gt;"",$AX$48="b"),Tech!X$48,"")</f>
      </c>
    </row>
    <row r="145" spans="2:14" ht="12.75">
      <c r="B145" s="118"/>
      <c r="C145" s="122" t="s">
        <v>56</v>
      </c>
      <c r="D145" s="124">
        <f t="shared" si="33"/>
      </c>
      <c r="E145" s="86">
        <f>IF($AX$48="c",Tech!AA$48,"")</f>
      </c>
      <c r="F145" s="86">
        <f>IF($AX$48="c",Tech!AB$48,"")</f>
      </c>
      <c r="G145" s="86">
        <f>IF(AND(G$14&lt;&gt;"",$AX$48="c"),Tech!AC$48,"")</f>
      </c>
      <c r="H145" s="86">
        <f>IF(AND(H$14&lt;&gt;"",$AX$48="c"),Tech!AD$48,"")</f>
      </c>
      <c r="I145" s="86">
        <f>IF(AND(I$14&lt;&gt;"",$AX$48="c"),Tech!AE$48,"")</f>
      </c>
      <c r="J145" s="86">
        <f>IF(AND(J$14&lt;&gt;"",$AX$48="c"),Tech!AF$48,"")</f>
      </c>
      <c r="K145" s="86">
        <f>IF(AND(K$14&lt;&gt;"",$AX$48="c"),Tech!AG$48,"")</f>
      </c>
      <c r="L145" s="86">
        <f>IF(AND(L$14&lt;&gt;"",$AX$48="c"),Tech!AH$48,"")</f>
      </c>
      <c r="M145" s="86">
        <f>IF(AND(M$14&lt;&gt;"",$AX$48="c"),Tech!AI$48,"")</f>
      </c>
      <c r="N145" s="86">
        <f>IF(AND(N$14&lt;&gt;"",$AX$48="c"),Tech!AJ$48,"")</f>
      </c>
    </row>
    <row r="146" spans="3:14" ht="12.75">
      <c r="C146" s="122" t="s">
        <v>57</v>
      </c>
      <c r="D146" s="124">
        <f t="shared" si="33"/>
      </c>
      <c r="E146" s="86">
        <f>IF($AX$48="c",Tech!AM$48,"")</f>
      </c>
      <c r="F146" s="86">
        <f>IF($AX$48="c",Tech!AN$48,"")</f>
      </c>
      <c r="G146" s="86">
        <f>IF(AND(G$14&lt;&gt;"",$AX$48="c"),Tech!AO$48,"")</f>
      </c>
      <c r="H146" s="86">
        <f>IF(AND(H$14&lt;&gt;"",$AX$48="c"),Tech!AP$48,"")</f>
      </c>
      <c r="I146" s="86">
        <f>IF(AND(I$14&lt;&gt;"",$AX$48="c"),Tech!AQ$48,"")</f>
      </c>
      <c r="J146" s="86">
        <f>IF(AND(J$14&lt;&gt;"",$AX$48="c"),Tech!AR$48,"")</f>
      </c>
      <c r="K146" s="86">
        <f>IF(AND(K$14&lt;&gt;"",$AX$48="c"),Tech!AS$48,"")</f>
      </c>
      <c r="L146" s="86">
        <f>IF(AND(L$14&lt;&gt;"",$AX$48="c"),Tech!AT$48,"")</f>
      </c>
      <c r="M146" s="86">
        <f>IF(AND(M$14&lt;&gt;"",$AX$48="c"),Tech!AU$48,"")</f>
      </c>
      <c r="N146" s="86">
        <f>IF(AND(N$14&lt;&gt;"",$AX$48="c"),Tech!AV$48,"")</f>
      </c>
    </row>
    <row r="147" spans="2:14" ht="12.75">
      <c r="B147" s="118"/>
      <c r="C147" s="122" t="s">
        <v>58</v>
      </c>
      <c r="D147" s="124">
        <f t="shared" si="33"/>
      </c>
      <c r="E147" s="86">
        <f>IF($AX$48="c",Tech!AY$48,"")</f>
      </c>
      <c r="F147" s="86">
        <f>IF($AX$48="c",Tech!AZ$48,"")</f>
      </c>
      <c r="G147" s="86">
        <f>IF(AND(G$14&lt;&gt;"",$AX$48="c"),Tech!BA$48,"")</f>
      </c>
      <c r="H147" s="86">
        <f>IF(AND(H$14&lt;&gt;"",$AX$48="c"),Tech!BB$48,"")</f>
      </c>
      <c r="I147" s="86">
        <f>IF(AND(I$14&lt;&gt;"",$AX$48="c"),Tech!BC$48,"")</f>
      </c>
      <c r="J147" s="86">
        <f>IF(AND(J$14&lt;&gt;"",$AX$48="c"),Tech!BD$48,"")</f>
      </c>
      <c r="K147" s="86">
        <f>IF(AND(K$14&lt;&gt;"",$AX$48="c"),Tech!BE$48,"")</f>
      </c>
      <c r="L147" s="86">
        <f>IF(AND(L$14&lt;&gt;"",$AX$48="c"),Tech!BF$48,"")</f>
      </c>
      <c r="M147" s="86">
        <f>IF(AND(M$14&lt;&gt;"",$AX$48="c"),Tech!BG$48,"")</f>
      </c>
      <c r="N147" s="86">
        <f>IF(AND(N$14&lt;&gt;"",$AX$48="c"),Tech!BH$48,"")</f>
      </c>
    </row>
    <row r="148" spans="2:14" ht="12.75">
      <c r="B148" s="118" t="str">
        <f>AS49</f>
        <v>---</v>
      </c>
      <c r="C148" s="119" t="s">
        <v>55</v>
      </c>
      <c r="D148" s="124">
        <f t="shared" si="33"/>
      </c>
      <c r="E148" s="86">
        <f>IF($AX$49="b",Tech!O$49,"")</f>
      </c>
      <c r="F148" s="86">
        <f>IF($AX$49="b",Tech!P$49,"")</f>
      </c>
      <c r="G148" s="86">
        <f>IF(AND(G$14&lt;&gt;"",$AX$49="b"),Tech!Q$49,"")</f>
      </c>
      <c r="H148" s="86">
        <f>IF(AND(H$14&lt;&gt;"",$AX$49="b"),Tech!R$49,"")</f>
      </c>
      <c r="I148" s="86">
        <f>IF(AND(I$14&lt;&gt;"",$AX$49="b"),Tech!S$49,"")</f>
      </c>
      <c r="J148" s="86">
        <f>IF(AND(J$14&lt;&gt;"",$AX$49="b"),Tech!T$49,"")</f>
      </c>
      <c r="K148" s="86">
        <f>IF(AND(K$14&lt;&gt;"",$AX$49="b"),Tech!U$49,"")</f>
      </c>
      <c r="L148" s="86">
        <f>IF(AND(L$14&lt;&gt;"",$AX$49="b"),Tech!V$49,"")</f>
      </c>
      <c r="M148" s="86">
        <f>IF(AND(M$14&lt;&gt;"",$AX$49="b"),Tech!W$49,"")</f>
      </c>
      <c r="N148" s="86">
        <f>IF(AND(N$14&lt;&gt;"",$AX$49="b"),Tech!X$49,"")</f>
      </c>
    </row>
    <row r="149" spans="2:14" ht="12.75">
      <c r="B149" s="118"/>
      <c r="C149" s="122" t="s">
        <v>56</v>
      </c>
      <c r="D149" s="124">
        <f t="shared" si="33"/>
      </c>
      <c r="E149" s="86">
        <f>IF($AX$49="c",Tech!AA$49,"")</f>
      </c>
      <c r="F149" s="86">
        <f>IF($AX$49="c",Tech!AB$49,"")</f>
      </c>
      <c r="G149" s="86">
        <f>IF(AND(G$14&lt;&gt;"",$AX$49="c"),Tech!AC$49,"")</f>
      </c>
      <c r="H149" s="86">
        <f>IF(AND(H$14&lt;&gt;"",$AX$49="c"),Tech!AD$49,"")</f>
      </c>
      <c r="I149" s="86">
        <f>IF(AND(I$14&lt;&gt;"",$AX$49="c"),Tech!AE$49,"")</f>
      </c>
      <c r="J149" s="86">
        <f>IF(AND(J$14&lt;&gt;"",$AX$49="c"),Tech!AF$49,"")</f>
      </c>
      <c r="K149" s="86">
        <f>IF(AND(K$14&lt;&gt;"",$AX$49="c"),Tech!AG$49,"")</f>
      </c>
      <c r="L149" s="86">
        <f>IF(AND(L$14&lt;&gt;"",$AX$49="c"),Tech!AH$49,"")</f>
      </c>
      <c r="M149" s="86">
        <f>IF(AND(M$14&lt;&gt;"",$AX$49="c"),Tech!AI$49,"")</f>
      </c>
      <c r="N149" s="86">
        <f>IF(AND(N$14&lt;&gt;"",$AX$49="c"),Tech!AJ$49,"")</f>
      </c>
    </row>
    <row r="150" spans="2:14" ht="12.75">
      <c r="B150" s="118"/>
      <c r="C150" s="122" t="s">
        <v>57</v>
      </c>
      <c r="D150" s="124">
        <f t="shared" si="33"/>
      </c>
      <c r="E150" s="86">
        <f>IF($AX$49="c",Tech!AM$49,"")</f>
      </c>
      <c r="F150" s="86">
        <f>IF($AX$49="c",Tech!AN$49,"")</f>
      </c>
      <c r="G150" s="86">
        <f>IF(AND(G$14&lt;&gt;"",$AX$49="c"),Tech!AO$49,"")</f>
      </c>
      <c r="H150" s="86">
        <f>IF(AND(H$14&lt;&gt;"",$AX$49="c"),Tech!AP$49,"")</f>
      </c>
      <c r="I150" s="86">
        <f>IF(AND(I$14&lt;&gt;"",$AX$49="c"),Tech!AQ$49,"")</f>
      </c>
      <c r="J150" s="86">
        <f>IF(AND(J$14&lt;&gt;"",$AX$49="c"),Tech!AR$49,"")</f>
      </c>
      <c r="K150" s="86">
        <f>IF(AND(K$14&lt;&gt;"",$AX$49="c"),Tech!AS$49,"")</f>
      </c>
      <c r="L150" s="86">
        <f>IF(AND(L$14&lt;&gt;"",$AX$49="c"),Tech!AT$49,"")</f>
      </c>
      <c r="M150" s="86">
        <f>IF(AND(M$14&lt;&gt;"",$AX$49="c"),Tech!AU$49,"")</f>
      </c>
      <c r="N150" s="86">
        <f>IF(AND(N$14&lt;&gt;"",$AX$49="c"),Tech!AV$49,"")</f>
      </c>
    </row>
    <row r="151" spans="3:14" ht="12.75">
      <c r="C151" s="122" t="s">
        <v>58</v>
      </c>
      <c r="D151" s="124">
        <f t="shared" si="33"/>
      </c>
      <c r="E151" s="86">
        <f>IF($AX$49="c",Tech!AY$49,"")</f>
      </c>
      <c r="F151" s="86">
        <f>IF($AX$49="c",Tech!AZ$49,"")</f>
      </c>
      <c r="G151" s="86">
        <f>IF(AND(G$14&lt;&gt;"",$AX$49="c"),Tech!BA$49,"")</f>
      </c>
      <c r="H151" s="86">
        <f>IF(AND(H$14&lt;&gt;"",$AX$49="c"),Tech!BB$49,"")</f>
      </c>
      <c r="I151" s="86">
        <f>IF(AND(I$14&lt;&gt;"",$AX$49="c"),Tech!BC$49,"")</f>
      </c>
      <c r="J151" s="86">
        <f>IF(AND(J$14&lt;&gt;"",$AX$49="c"),Tech!BD$49,"")</f>
      </c>
      <c r="K151" s="86">
        <f>IF(AND(K$14&lt;&gt;"",$AX$49="c"),Tech!BE$49,"")</f>
      </c>
      <c r="L151" s="86">
        <f>IF(AND(L$14&lt;&gt;"",$AX$49="c"),Tech!BF$49,"")</f>
      </c>
      <c r="M151" s="86">
        <f>IF(AND(M$14&lt;&gt;"",$AX$49="c"),Tech!BG$49,"")</f>
      </c>
      <c r="N151" s="86">
        <f>IF(AND(N$14&lt;&gt;"",$AX$49="c"),Tech!BH$49,"")</f>
      </c>
    </row>
    <row r="152" spans="2:14" ht="12.75">
      <c r="B152" s="118" t="str">
        <f>AS50</f>
        <v>---</v>
      </c>
      <c r="C152" s="119" t="s">
        <v>55</v>
      </c>
      <c r="D152" s="124">
        <f t="shared" si="33"/>
      </c>
      <c r="E152" s="86">
        <f>IF($AX$50="b",Tech!O$50,"")</f>
      </c>
      <c r="F152" s="86">
        <f>IF($AX$50="b",Tech!P$50,"")</f>
      </c>
      <c r="G152" s="86">
        <f>IF(AND(G$14&lt;&gt;"",$AX$50="b"),Tech!Q$50,"")</f>
      </c>
      <c r="H152" s="86">
        <f>IF(AND(H$14&lt;&gt;"",$AX$50="b"),Tech!R$50,"")</f>
      </c>
      <c r="I152" s="86">
        <f>IF(AND(I$14&lt;&gt;"",$AX$50="b"),Tech!S$50,"")</f>
      </c>
      <c r="J152" s="86">
        <f>IF(AND(J$14&lt;&gt;"",$AX$50="b"),Tech!T$50,"")</f>
      </c>
      <c r="K152" s="86">
        <f>IF(AND(K$14&lt;&gt;"",$AX$50="b"),Tech!U$50,"")</f>
      </c>
      <c r="L152" s="86">
        <f>IF(AND(L$14&lt;&gt;"",$AX$50="b"),Tech!V$50,"")</f>
      </c>
      <c r="M152" s="86">
        <f>IF(AND(M$14&lt;&gt;"",$AX$50="b"),Tech!W$50,"")</f>
      </c>
      <c r="N152" s="86">
        <f>IF(AND(N$14&lt;&gt;"",$AX$50="b"),Tech!X$50,"")</f>
      </c>
    </row>
    <row r="153" spans="2:14" ht="12.75">
      <c r="B153" s="118"/>
      <c r="C153" s="122" t="s">
        <v>56</v>
      </c>
      <c r="D153" s="124">
        <f aca="true" t="shared" si="34" ref="D153:D215">IF(E153="","",(+myabsk(E153,F153,G153,H153,I153,J153,K153,L153,M153,N153,O153))/COUNT(E153:N153))</f>
      </c>
      <c r="E153" s="86">
        <f>IF($AX$50="c",Tech!AA$50,"")</f>
      </c>
      <c r="F153" s="86">
        <f>IF($AX$50="c",Tech!AB$50,"")</f>
      </c>
      <c r="G153" s="86">
        <f>IF(AND(G$14&lt;&gt;"",$AX$50="c"),Tech!AC$50,"")</f>
      </c>
      <c r="H153" s="86">
        <f>IF(AND(H$14&lt;&gt;"",$AX$50="c"),Tech!AD$50,"")</f>
      </c>
      <c r="I153" s="86">
        <f>IF(AND(I$14&lt;&gt;"",$AX$50="c"),Tech!AE$50,"")</f>
      </c>
      <c r="J153" s="86">
        <f>IF(AND(J$14&lt;&gt;"",$AX$50="c"),Tech!AF$50,"")</f>
      </c>
      <c r="K153" s="86">
        <f>IF(AND(K$14&lt;&gt;"",$AX$50="c"),Tech!AG$50,"")</f>
      </c>
      <c r="L153" s="86">
        <f>IF(AND(L$14&lt;&gt;"",$AX$50="c"),Tech!AH$50,"")</f>
      </c>
      <c r="M153" s="86">
        <f>IF(AND(M$14&lt;&gt;"",$AX$50="c"),Tech!AI$50,"")</f>
      </c>
      <c r="N153" s="86">
        <f>IF(AND(N$14&lt;&gt;"",$AX$50="c"),Tech!AJ$50,"")</f>
      </c>
    </row>
    <row r="154" spans="2:14" ht="12.75">
      <c r="B154" s="118"/>
      <c r="C154" s="122" t="s">
        <v>57</v>
      </c>
      <c r="D154" s="124">
        <f t="shared" si="34"/>
      </c>
      <c r="E154" s="86">
        <f>IF($AX$50="c",Tech!AM$50,"")</f>
      </c>
      <c r="F154" s="86">
        <f>IF($AX$50="c",Tech!AN$50,"")</f>
      </c>
      <c r="G154" s="86">
        <f>IF(AND(G$14&lt;&gt;"",$AX$50="c"),Tech!AO$50,"")</f>
      </c>
      <c r="H154" s="86">
        <f>IF(AND(H$14&lt;&gt;"",$AX$50="c"),Tech!AP$50,"")</f>
      </c>
      <c r="I154" s="86">
        <f>IF(AND(I$14&lt;&gt;"",$AX$50="c"),Tech!AQ$50,"")</f>
      </c>
      <c r="J154" s="86">
        <f>IF(AND(J$14&lt;&gt;"",$AX$50="c"),Tech!AR$50,"")</f>
      </c>
      <c r="K154" s="86">
        <f>IF(AND(K$14&lt;&gt;"",$AX$50="c"),Tech!AS$50,"")</f>
      </c>
      <c r="L154" s="86">
        <f>IF(AND(L$14&lt;&gt;"",$AX$50="c"),Tech!AT$50,"")</f>
      </c>
      <c r="M154" s="86">
        <f>IF(AND(M$14&lt;&gt;"",$AX$50="c"),Tech!AU$50,"")</f>
      </c>
      <c r="N154" s="86">
        <f>IF(AND(N$14&lt;&gt;"",$AX$50="c"),Tech!AV$50,"")</f>
      </c>
    </row>
    <row r="155" spans="2:14" ht="12.75">
      <c r="B155" s="118"/>
      <c r="C155" s="122" t="s">
        <v>58</v>
      </c>
      <c r="D155" s="124">
        <f t="shared" si="34"/>
      </c>
      <c r="E155" s="86">
        <f>IF($AX$50="c",Tech!AY$50,"")</f>
      </c>
      <c r="F155" s="86">
        <f>IF($AX$50="c",Tech!AZ$50,"")</f>
      </c>
      <c r="G155" s="86">
        <f>IF(AND(G$14&lt;&gt;"",$AX$50="c"),Tech!BA$50,"")</f>
      </c>
      <c r="H155" s="86">
        <f>IF(AND(H$14&lt;&gt;"",$AX$50="c"),Tech!BB$50,"")</f>
      </c>
      <c r="I155" s="86">
        <f>IF(AND(I$14&lt;&gt;"",$AX$50="c"),Tech!BC$50,"")</f>
      </c>
      <c r="J155" s="86">
        <f>IF(AND(J$14&lt;&gt;"",$AX$50="c"),Tech!BD$50,"")</f>
      </c>
      <c r="K155" s="86">
        <f>IF(AND(K$14&lt;&gt;"",$AX$50="c"),Tech!BE$50,"")</f>
      </c>
      <c r="L155" s="86">
        <f>IF(AND(L$14&lt;&gt;"",$AX$50="c"),Tech!BF$50,"")</f>
      </c>
      <c r="M155" s="86">
        <f>IF(AND(M$14&lt;&gt;"",$AX$50="c"),Tech!BG$50,"")</f>
      </c>
      <c r="N155" s="86">
        <f>IF(AND(N$14&lt;&gt;"",$AX$50="c"),Tech!BH$50,"")</f>
      </c>
    </row>
    <row r="156" spans="2:14" ht="12.75">
      <c r="B156" s="118" t="str">
        <f>AS51</f>
        <v>---</v>
      </c>
      <c r="C156" s="119" t="s">
        <v>55</v>
      </c>
      <c r="D156" s="124">
        <f t="shared" si="34"/>
      </c>
      <c r="E156" s="86">
        <f>IF($AX$51="b",Tech!O$51,"")</f>
      </c>
      <c r="F156" s="86">
        <f>IF($AX$51="b",Tech!P$51,"")</f>
      </c>
      <c r="G156" s="86">
        <f>IF(AND(G$14&lt;&gt;"",$AX$51="b"),Tech!Q$51,"")</f>
      </c>
      <c r="H156" s="86">
        <f>IF(AND(H$14&lt;&gt;"",$AX$51="b"),Tech!R$51,"")</f>
      </c>
      <c r="I156" s="86">
        <f>IF(AND(I$14&lt;&gt;"",$AX$51="b"),Tech!S$51,"")</f>
      </c>
      <c r="J156" s="86">
        <f>IF(AND(J$14&lt;&gt;"",$AX$51="b"),Tech!T$51,"")</f>
      </c>
      <c r="K156" s="86">
        <f>IF(AND(K$14&lt;&gt;"",$AX$51="b"),Tech!U$51,"")</f>
      </c>
      <c r="L156" s="86">
        <f>IF(AND(L$14&lt;&gt;"",$AX$51="b"),Tech!V$51,"")</f>
      </c>
      <c r="M156" s="86">
        <f>IF(AND(M$14&lt;&gt;"",$AX$51="b"),Tech!W$51,"")</f>
      </c>
      <c r="N156" s="86">
        <f>IF(AND(N$14&lt;&gt;"",$AX$51="b"),Tech!X$51,"")</f>
      </c>
    </row>
    <row r="157" spans="2:14" ht="12.75">
      <c r="B157" s="118"/>
      <c r="C157" s="122" t="s">
        <v>56</v>
      </c>
      <c r="D157" s="124">
        <f t="shared" si="34"/>
      </c>
      <c r="E157" s="86">
        <f>IF($AX$51="c",Tech!AA$51,"")</f>
      </c>
      <c r="F157" s="86">
        <f>IF($AX$51="c",Tech!AB$51,"")</f>
      </c>
      <c r="G157" s="86">
        <f>IF(AND(G$14&lt;&gt;"",$AX$51="c"),Tech!AC$51,"")</f>
      </c>
      <c r="H157" s="86">
        <f>IF(AND(H$14&lt;&gt;"",$AX$51="c"),Tech!AD$51,"")</f>
      </c>
      <c r="I157" s="86">
        <f>IF(AND(I$14&lt;&gt;"",$AX$51="c"),Tech!AE$51,"")</f>
      </c>
      <c r="J157" s="86">
        <f>IF(AND(J$14&lt;&gt;"",$AX$51="c"),Tech!AF$51,"")</f>
      </c>
      <c r="K157" s="86">
        <f>IF(AND(K$14&lt;&gt;"",$AX$51="c"),Tech!AG$51,"")</f>
      </c>
      <c r="L157" s="86">
        <f>IF(AND(L$14&lt;&gt;"",$AX$51="c"),Tech!AH$51,"")</f>
      </c>
      <c r="M157" s="86">
        <f>IF(AND(M$14&lt;&gt;"",$AX$51="c"),Tech!AI$51,"")</f>
      </c>
      <c r="N157" s="86">
        <f>IF(AND(N$14&lt;&gt;"",$AX$51="c"),Tech!AJ$51,"")</f>
      </c>
    </row>
    <row r="158" spans="2:14" ht="12.75">
      <c r="B158" s="118"/>
      <c r="C158" s="122" t="s">
        <v>57</v>
      </c>
      <c r="D158" s="124">
        <f t="shared" si="34"/>
      </c>
      <c r="E158" s="86">
        <f>IF($AX$51="c",Tech!AM$51,"")</f>
      </c>
      <c r="F158" s="86">
        <f>IF($AX$51="c",Tech!AN$51,"")</f>
      </c>
      <c r="G158" s="86">
        <f>IF(AND(G$14&lt;&gt;"",$AX$51="c"),Tech!AO$51,"")</f>
      </c>
      <c r="H158" s="86">
        <f>IF(AND(H$14&lt;&gt;"",$AX$51="c"),Tech!AP$51,"")</f>
      </c>
      <c r="I158" s="86">
        <f>IF(AND(I$14&lt;&gt;"",$AX$51="c"),Tech!AQ$51,"")</f>
      </c>
      <c r="J158" s="86">
        <f>IF(AND(J$14&lt;&gt;"",$AX$51="c"),Tech!AR$51,"")</f>
      </c>
      <c r="K158" s="86">
        <f>IF(AND(K$14&lt;&gt;"",$AX$51="c"),Tech!AS$51,"")</f>
      </c>
      <c r="L158" s="86">
        <f>IF(AND(L$14&lt;&gt;"",$AX$51="c"),Tech!AT$51,"")</f>
      </c>
      <c r="M158" s="86">
        <f>IF(AND(M$14&lt;&gt;"",$AX$51="c"),Tech!AU$51,"")</f>
      </c>
      <c r="N158" s="86">
        <f>IF(AND(N$14&lt;&gt;"",$AX$51="c"),Tech!AV$51,"")</f>
      </c>
    </row>
    <row r="159" spans="2:14" ht="12.75">
      <c r="B159" s="118"/>
      <c r="C159" s="122" t="s">
        <v>58</v>
      </c>
      <c r="D159" s="124">
        <f t="shared" si="34"/>
      </c>
      <c r="E159" s="86">
        <f>IF($AX$51="c",Tech!AY$51,"")</f>
      </c>
      <c r="F159" s="86">
        <f>IF($AX$51="c",Tech!AZ$51,"")</f>
      </c>
      <c r="G159" s="86">
        <f>IF(AND(G$14&lt;&gt;"",$AX$51="c"),Tech!BA$51,"")</f>
      </c>
      <c r="H159" s="86">
        <f>IF(AND(H$14&lt;&gt;"",$AX$51="c"),Tech!BB$51,"")</f>
      </c>
      <c r="I159" s="86">
        <f>IF(AND(I$14&lt;&gt;"",$AX$51="c"),Tech!BC$51,"")</f>
      </c>
      <c r="J159" s="86">
        <f>IF(AND(J$14&lt;&gt;"",$AX$51="c"),Tech!BD$51,"")</f>
      </c>
      <c r="K159" s="86">
        <f>IF(AND(K$14&lt;&gt;"",$AX$51="c"),Tech!BE$51,"")</f>
      </c>
      <c r="L159" s="86">
        <f>IF(AND(L$14&lt;&gt;"",$AX$51="c"),Tech!BF$51,"")</f>
      </c>
      <c r="M159" s="86">
        <f>IF(AND(M$14&lt;&gt;"",$AX$51="c"),Tech!BG$51,"")</f>
      </c>
      <c r="N159" s="86">
        <f>IF(AND(N$14&lt;&gt;"",$AX$51="c"),Tech!BH$51,"")</f>
      </c>
    </row>
    <row r="160" spans="2:14" ht="12.75">
      <c r="B160" s="118" t="str">
        <f>AS52</f>
        <v>---</v>
      </c>
      <c r="C160" s="119" t="s">
        <v>55</v>
      </c>
      <c r="D160" s="124">
        <f t="shared" si="34"/>
      </c>
      <c r="E160" s="86">
        <f>IF($AX$52="b",Tech!O$52,"")</f>
      </c>
      <c r="F160" s="86">
        <f>IF($AX$52="b",Tech!P$52,"")</f>
      </c>
      <c r="G160" s="86">
        <f>IF(AND(G$14&lt;&gt;"",$AX$52="b"),Tech!Q$52,"")</f>
      </c>
      <c r="H160" s="86">
        <f>IF(AND(H$14&lt;&gt;"",$AX$52="b"),Tech!R$52,"")</f>
      </c>
      <c r="I160" s="86">
        <f>IF(AND(I$14&lt;&gt;"",$AX$52="b"),Tech!S$52,"")</f>
      </c>
      <c r="J160" s="86">
        <f>IF(AND(J$14&lt;&gt;"",$AX$52="b"),Tech!T$52,"")</f>
      </c>
      <c r="K160" s="86">
        <f>IF(AND(K$14&lt;&gt;"",$AX$52="b"),Tech!U$52,"")</f>
      </c>
      <c r="L160" s="86">
        <f>IF(AND(L$14&lt;&gt;"",$AX$52="b"),Tech!V$52,"")</f>
      </c>
      <c r="M160" s="86">
        <f>IF(AND(M$14&lt;&gt;"",$AX$52="b"),Tech!W$52,"")</f>
      </c>
      <c r="N160" s="86">
        <f>IF(AND(N$14&lt;&gt;"",$AX$52="b"),Tech!X$52,"")</f>
      </c>
    </row>
    <row r="161" spans="3:14" ht="12.75">
      <c r="C161" s="122" t="s">
        <v>56</v>
      </c>
      <c r="D161" s="124">
        <f t="shared" si="34"/>
      </c>
      <c r="E161" s="86">
        <f>IF($AX$52="c",Tech!AA$52,"")</f>
      </c>
      <c r="F161" s="86">
        <f>IF($AX$52="c",Tech!AB$52,"")</f>
      </c>
      <c r="G161" s="86">
        <f>IF(AND(G$14&lt;&gt;"",$AX$52="c"),Tech!AC$52,"")</f>
      </c>
      <c r="H161" s="86">
        <f>IF(AND(H$14&lt;&gt;"",$AX$52="c"),Tech!AD$52,"")</f>
      </c>
      <c r="I161" s="86">
        <f>IF(AND(I$14&lt;&gt;"",$AX$52="c"),Tech!AE$52,"")</f>
      </c>
      <c r="J161" s="86">
        <f>IF(AND(J$14&lt;&gt;"",$AX$52="c"),Tech!AF$52,"")</f>
      </c>
      <c r="K161" s="86">
        <f>IF(AND(K$14&lt;&gt;"",$AX$52="c"),Tech!AG$52,"")</f>
      </c>
      <c r="L161" s="86">
        <f>IF(AND(L$14&lt;&gt;"",$AX$52="c"),Tech!AH$52,"")</f>
      </c>
      <c r="M161" s="86">
        <f>IF(AND(M$14&lt;&gt;"",$AX$52="c"),Tech!AI$52,"")</f>
      </c>
      <c r="N161" s="86">
        <f>IF(AND(N$14&lt;&gt;"",$AX$52="c"),Tech!AJ$52,"")</f>
      </c>
    </row>
    <row r="162" spans="2:14" ht="12.75">
      <c r="B162" s="118"/>
      <c r="C162" s="122" t="s">
        <v>57</v>
      </c>
      <c r="D162" s="124">
        <f t="shared" si="34"/>
      </c>
      <c r="E162" s="86">
        <f>IF($AX$52="c",Tech!AM$52,"")</f>
      </c>
      <c r="F162" s="86">
        <f>IF($AX$52="c",Tech!AN$52,"")</f>
      </c>
      <c r="G162" s="86">
        <f>IF(AND(G$14&lt;&gt;"",$AX$52="c"),Tech!AO$52,"")</f>
      </c>
      <c r="H162" s="86">
        <f>IF(AND(H$14&lt;&gt;"",$AX$52="c"),Tech!AP$52,"")</f>
      </c>
      <c r="I162" s="86">
        <f>IF(AND(I$14&lt;&gt;"",$AX$52="c"),Tech!AQ$52,"")</f>
      </c>
      <c r="J162" s="86">
        <f>IF(AND(J$14&lt;&gt;"",$AX$52="c"),Tech!AR$52,"")</f>
      </c>
      <c r="K162" s="86">
        <f>IF(AND(K$14&lt;&gt;"",$AX$52="c"),Tech!AS$52,"")</f>
      </c>
      <c r="L162" s="86">
        <f>IF(AND(L$14&lt;&gt;"",$AX$52="c"),Tech!AT$52,"")</f>
      </c>
      <c r="M162" s="86">
        <f>IF(AND(M$14&lt;&gt;"",$AX$52="c"),Tech!AU$52,"")</f>
      </c>
      <c r="N162" s="86">
        <f>IF(AND(N$14&lt;&gt;"",$AX$52="c"),Tech!AV$52,"")</f>
      </c>
    </row>
    <row r="163" spans="2:14" ht="12.75">
      <c r="B163" s="118"/>
      <c r="C163" s="122" t="s">
        <v>58</v>
      </c>
      <c r="D163" s="124">
        <f t="shared" si="34"/>
      </c>
      <c r="E163" s="86">
        <f>IF($AX$52="c",Tech!AY$52,"")</f>
      </c>
      <c r="F163" s="86">
        <f>IF($AX$52="c",Tech!AZ$52,"")</f>
      </c>
      <c r="G163" s="86">
        <f>IF(AND(G$14&lt;&gt;"",$AX$52="c"),Tech!BA$52,"")</f>
      </c>
      <c r="H163" s="86">
        <f>IF(AND(H$14&lt;&gt;"",$AX$52="c"),Tech!BB$52,"")</f>
      </c>
      <c r="I163" s="86">
        <f>IF(AND(I$14&lt;&gt;"",$AX$52="c"),Tech!BC$52,"")</f>
      </c>
      <c r="J163" s="86">
        <f>IF(AND(J$14&lt;&gt;"",$AX$52="c"),Tech!BD$52,"")</f>
      </c>
      <c r="K163" s="86">
        <f>IF(AND(K$14&lt;&gt;"",$AX$52="c"),Tech!BE$52,"")</f>
      </c>
      <c r="L163" s="86">
        <f>IF(AND(L$14&lt;&gt;"",$AX$52="c"),Tech!BF$52,"")</f>
      </c>
      <c r="M163" s="86">
        <f>IF(AND(M$14&lt;&gt;"",$AX$52="c"),Tech!BG$52,"")</f>
      </c>
      <c r="N163" s="86">
        <f>IF(AND(N$14&lt;&gt;"",$AX$52="c"),Tech!BH$52,"")</f>
      </c>
    </row>
    <row r="164" spans="2:14" ht="12.75">
      <c r="B164" s="118" t="str">
        <f>AS53</f>
        <v>---</v>
      </c>
      <c r="C164" s="119" t="s">
        <v>55</v>
      </c>
      <c r="D164" s="124">
        <f t="shared" si="34"/>
      </c>
      <c r="E164" s="86">
        <f>IF($AX$53="b",Tech!O$53,"")</f>
      </c>
      <c r="F164" s="86">
        <f>IF($AX$53="b",Tech!P$53,"")</f>
      </c>
      <c r="G164" s="86">
        <f>IF(AND(G$14&lt;&gt;"",$AX$53="b"),Tech!Q$53,"")</f>
      </c>
      <c r="H164" s="86">
        <f>IF(AND(H$14&lt;&gt;"",$AX$53="b"),Tech!R$53,"")</f>
      </c>
      <c r="I164" s="86">
        <f>IF(AND(I$14&lt;&gt;"",$AX$53="b"),Tech!S$53,"")</f>
      </c>
      <c r="J164" s="86">
        <f>IF(AND(J$14&lt;&gt;"",$AX$53="b"),Tech!T$53,"")</f>
      </c>
      <c r="K164" s="86">
        <f>IF(AND(K$14&lt;&gt;"",$AX$53="b"),Tech!U$53,"")</f>
      </c>
      <c r="L164" s="86">
        <f>IF(AND(L$14&lt;&gt;"",$AX$53="b"),Tech!V$53,"")</f>
      </c>
      <c r="M164" s="86">
        <f>IF(AND(M$14&lt;&gt;"",$AX$53="b"),Tech!W$53,"")</f>
      </c>
      <c r="N164" s="86">
        <f>IF(AND(N$14&lt;&gt;"",$AX$53="b"),Tech!X$53,"")</f>
      </c>
    </row>
    <row r="165" spans="2:14" ht="12.75">
      <c r="B165" s="118"/>
      <c r="C165" s="122" t="s">
        <v>56</v>
      </c>
      <c r="D165" s="124">
        <f t="shared" si="34"/>
      </c>
      <c r="E165" s="86">
        <f>IF($AX$53="c",Tech!AA$53,"")</f>
      </c>
      <c r="F165" s="86">
        <f>IF($AX$53="c",Tech!AB$53,"")</f>
      </c>
      <c r="G165" s="86">
        <f>IF(AND(G$14&lt;&gt;"",$AX$53="c"),Tech!AC$53,"")</f>
      </c>
      <c r="H165" s="86">
        <f>IF(AND(H$14&lt;&gt;"",$AX$53="c"),Tech!AD$53,"")</f>
      </c>
      <c r="I165" s="86">
        <f>IF(AND(I$14&lt;&gt;"",$AX$53="c"),Tech!AE$53,"")</f>
      </c>
      <c r="J165" s="86">
        <f>IF(AND(J$14&lt;&gt;"",$AX$53="c"),Tech!AF$53,"")</f>
      </c>
      <c r="K165" s="86">
        <f>IF(AND(K$14&lt;&gt;"",$AX$53="c"),Tech!AG$53,"")</f>
      </c>
      <c r="L165" s="86">
        <f>IF(AND(L$14&lt;&gt;"",$AX$53="c"),Tech!AH$53,"")</f>
      </c>
      <c r="M165" s="86">
        <f>IF(AND(M$14&lt;&gt;"",$AX$53="c"),Tech!AI$53,"")</f>
      </c>
      <c r="N165" s="86">
        <f>IF(AND(N$14&lt;&gt;"",$AX$53="c"),Tech!AJ$53,"")</f>
      </c>
    </row>
    <row r="166" spans="3:14" ht="12.75">
      <c r="C166" s="122" t="s">
        <v>57</v>
      </c>
      <c r="D166" s="124">
        <f t="shared" si="34"/>
      </c>
      <c r="E166" s="86">
        <f>IF($AX$53="c",Tech!AM$53,"")</f>
      </c>
      <c r="F166" s="86">
        <f>IF($AX$53="c",Tech!AN$53,"")</f>
      </c>
      <c r="G166" s="86">
        <f>IF(AND(G$14&lt;&gt;"",$AX$53="c"),Tech!AO$53,"")</f>
      </c>
      <c r="H166" s="86">
        <f>IF(AND(H$14&lt;&gt;"",$AX$53="c"),Tech!AP$53,"")</f>
      </c>
      <c r="I166" s="86">
        <f>IF(AND(I$14&lt;&gt;"",$AX$53="c"),Tech!AQ$53,"")</f>
      </c>
      <c r="J166" s="86">
        <f>IF(AND(J$14&lt;&gt;"",$AX$53="c"),Tech!AR$53,"")</f>
      </c>
      <c r="K166" s="86">
        <f>IF(AND(K$14&lt;&gt;"",$AX$53="c"),Tech!AS$53,"")</f>
      </c>
      <c r="L166" s="86">
        <f>IF(AND(L$14&lt;&gt;"",$AX$53="c"),Tech!AT$53,"")</f>
      </c>
      <c r="M166" s="86">
        <f>IF(AND(M$14&lt;&gt;"",$AX$53="c"),Tech!AU$53,"")</f>
      </c>
      <c r="N166" s="86">
        <f>IF(AND(N$14&lt;&gt;"",$AX$53="c"),Tech!AV$53,"")</f>
      </c>
    </row>
    <row r="167" spans="2:14" ht="12.75">
      <c r="B167" s="118"/>
      <c r="C167" s="122" t="s">
        <v>58</v>
      </c>
      <c r="D167" s="124">
        <f t="shared" si="34"/>
      </c>
      <c r="E167" s="86">
        <f>IF($AX$53="c",Tech!AY$53,"")</f>
      </c>
      <c r="F167" s="86">
        <f>IF($AX$53="c",Tech!AZ$53,"")</f>
      </c>
      <c r="G167" s="86">
        <f>IF(AND(G$14&lt;&gt;"",$AX$53="c"),Tech!BA$53,"")</f>
      </c>
      <c r="H167" s="86">
        <f>IF(AND(H$14&lt;&gt;"",$AX$53="c"),Tech!BB$53,"")</f>
      </c>
      <c r="I167" s="86">
        <f>IF(AND(I$14&lt;&gt;"",$AX$53="c"),Tech!BC$53,"")</f>
      </c>
      <c r="J167" s="86">
        <f>IF(AND(J$14&lt;&gt;"",$AX$53="c"),Tech!BD$53,"")</f>
      </c>
      <c r="K167" s="86">
        <f>IF(AND(K$14&lt;&gt;"",$AX$53="c"),Tech!BE$53,"")</f>
      </c>
      <c r="L167" s="86">
        <f>IF(AND(L$14&lt;&gt;"",$AX$53="c"),Tech!BF$53,"")</f>
      </c>
      <c r="M167" s="86">
        <f>IF(AND(M$14&lt;&gt;"",$AX$53="c"),Tech!BG$53,"")</f>
      </c>
      <c r="N167" s="86">
        <f>IF(AND(N$14&lt;&gt;"",$AX$53="c"),Tech!BH$53,"")</f>
      </c>
    </row>
    <row r="168" spans="2:14" ht="12.75">
      <c r="B168" s="118" t="str">
        <f>AS54</f>
        <v>---</v>
      </c>
      <c r="C168" s="119" t="s">
        <v>55</v>
      </c>
      <c r="D168" s="124">
        <f t="shared" si="34"/>
      </c>
      <c r="E168" s="86">
        <f>IF($AX$54="b",Tech!O$54,"")</f>
      </c>
      <c r="F168" s="86">
        <f>IF($AX$54="b",Tech!P$54,"")</f>
      </c>
      <c r="G168" s="86">
        <f>IF(AND(G$14&lt;&gt;"",$AX$54="b"),Tech!Q$54,"")</f>
      </c>
      <c r="H168" s="86">
        <f>IF(AND(H$14&lt;&gt;"",$AX$54="b"),Tech!R$54,"")</f>
      </c>
      <c r="I168" s="86">
        <f>IF(AND(I$14&lt;&gt;"",$AX$54="b"),Tech!S$54,"")</f>
      </c>
      <c r="J168" s="86">
        <f>IF(AND(J$14&lt;&gt;"",$AX$54="b"),Tech!T$54,"")</f>
      </c>
      <c r="K168" s="86">
        <f>IF(AND(K$14&lt;&gt;"",$AX$54="b"),Tech!U$54,"")</f>
      </c>
      <c r="L168" s="86">
        <f>IF(AND(L$14&lt;&gt;"",$AX$54="b"),Tech!V$54,"")</f>
      </c>
      <c r="M168" s="86">
        <f>IF(AND(M$14&lt;&gt;"",$AX$54="b"),Tech!W$54,"")</f>
      </c>
      <c r="N168" s="86">
        <f>IF(AND(N$14&lt;&gt;"",$AX$54="b"),Tech!X$54,"")</f>
      </c>
    </row>
    <row r="169" spans="2:14" ht="12.75">
      <c r="B169" s="118"/>
      <c r="C169" s="122" t="s">
        <v>56</v>
      </c>
      <c r="D169" s="124">
        <f t="shared" si="34"/>
      </c>
      <c r="E169" s="86">
        <f>IF($AX$54="c",Tech!AA$54,"")</f>
      </c>
      <c r="F169" s="86">
        <f>IF($AX$54="c",Tech!AB$54,"")</f>
      </c>
      <c r="G169" s="86">
        <f>IF(AND(G$14&lt;&gt;"",$AX$54="c"),Tech!AC$54,"")</f>
      </c>
      <c r="H169" s="86">
        <f>IF(AND(H$14&lt;&gt;"",$AX$54="c"),Tech!AD$54,"")</f>
      </c>
      <c r="I169" s="86">
        <f>IF(AND(I$14&lt;&gt;"",$AX$54="c"),Tech!AE$54,"")</f>
      </c>
      <c r="J169" s="86">
        <f>IF(AND(J$14&lt;&gt;"",$AX$54="c"),Tech!AF$54,"")</f>
      </c>
      <c r="K169" s="86">
        <f>IF(AND(K$14&lt;&gt;"",$AX$54="c"),Tech!AG$54,"")</f>
      </c>
      <c r="L169" s="86">
        <f>IF(AND(L$14&lt;&gt;"",$AX$54="c"),Tech!AH$54,"")</f>
      </c>
      <c r="M169" s="86">
        <f>IF(AND(M$14&lt;&gt;"",$AX$54="c"),Tech!AI$54,"")</f>
      </c>
      <c r="N169" s="86">
        <f>IF(AND(N$14&lt;&gt;"",$AX$54="c"),Tech!AJ$54,"")</f>
      </c>
    </row>
    <row r="170" spans="2:14" ht="12.75">
      <c r="B170" s="118"/>
      <c r="C170" s="122" t="s">
        <v>57</v>
      </c>
      <c r="D170" s="124">
        <f t="shared" si="34"/>
      </c>
      <c r="E170" s="86">
        <f>IF($AX$54="c",Tech!AM$54,"")</f>
      </c>
      <c r="F170" s="86">
        <f>IF($AX$54="c",Tech!AN$54,"")</f>
      </c>
      <c r="G170" s="86">
        <f>IF(AND(G$14&lt;&gt;"",$AX$54="c"),Tech!AO$54,"")</f>
      </c>
      <c r="H170" s="86">
        <f>IF(AND(H$14&lt;&gt;"",$AX$54="c"),Tech!AP$54,"")</f>
      </c>
      <c r="I170" s="86">
        <f>IF(AND(I$14&lt;&gt;"",$AX$54="c"),Tech!AQ$54,"")</f>
      </c>
      <c r="J170" s="86">
        <f>IF(AND(J$14&lt;&gt;"",$AX$54="c"),Tech!AR$54,"")</f>
      </c>
      <c r="K170" s="86">
        <f>IF(AND(K$14&lt;&gt;"",$AX$54="c"),Tech!AS$54,"")</f>
      </c>
      <c r="L170" s="86">
        <f>IF(AND(L$14&lt;&gt;"",$AX$54="c"),Tech!AT$54,"")</f>
      </c>
      <c r="M170" s="86">
        <f>IF(AND(M$14&lt;&gt;"",$AX$54="c"),Tech!AU$54,"")</f>
      </c>
      <c r="N170" s="86">
        <f>IF(AND(N$14&lt;&gt;"",$AX$54="c"),Tech!AV$54,"")</f>
      </c>
    </row>
    <row r="171" spans="3:14" ht="12.75">
      <c r="C171" s="122" t="s">
        <v>58</v>
      </c>
      <c r="D171" s="124">
        <f t="shared" si="34"/>
      </c>
      <c r="E171" s="86">
        <f>IF($AX$54="c",Tech!AY$54,"")</f>
      </c>
      <c r="F171" s="86">
        <f>IF($AX$54="c",Tech!AZ$54,"")</f>
      </c>
      <c r="G171" s="86">
        <f>IF(AND(G$14&lt;&gt;"",$AX$54="c"),Tech!BA$54,"")</f>
      </c>
      <c r="H171" s="86">
        <f>IF(AND(H$14&lt;&gt;"",$AX$54="c"),Tech!BB$54,"")</f>
      </c>
      <c r="I171" s="86">
        <f>IF(AND(I$14&lt;&gt;"",$AX$54="c"),Tech!BC$54,"")</f>
      </c>
      <c r="J171" s="86">
        <f>IF(AND(J$14&lt;&gt;"",$AX$54="c"),Tech!BD$54,"")</f>
      </c>
      <c r="K171" s="86">
        <f>IF(AND(K$14&lt;&gt;"",$AX$54="c"),Tech!BE$54,"")</f>
      </c>
      <c r="L171" s="86">
        <f>IF(AND(L$14&lt;&gt;"",$AX$54="c"),Tech!BF$54,"")</f>
      </c>
      <c r="M171" s="86">
        <f>IF(AND(M$14&lt;&gt;"",$AX$54="c"),Tech!BG$54,"")</f>
      </c>
      <c r="N171" s="86">
        <f>IF(AND(N$14&lt;&gt;"",$AX$54="c"),Tech!BH$54,"")</f>
      </c>
    </row>
    <row r="172" spans="2:14" ht="12.75">
      <c r="B172" s="118" t="str">
        <f>AS55</f>
        <v>---</v>
      </c>
      <c r="C172" s="119" t="s">
        <v>55</v>
      </c>
      <c r="D172" s="124">
        <f t="shared" si="34"/>
      </c>
      <c r="E172" s="86">
        <f>IF($AX$55="b",Tech!O$55,"")</f>
      </c>
      <c r="F172" s="86">
        <f>IF($AX$55="b",Tech!P$55,"")</f>
      </c>
      <c r="G172" s="86">
        <f>IF(AND(G$14&lt;&gt;"",$AX$55="b"),Tech!Q$55,"")</f>
      </c>
      <c r="H172" s="86">
        <f>IF(AND(H$14&lt;&gt;"",$AX$55="b"),Tech!R$55,"")</f>
      </c>
      <c r="I172" s="86">
        <f>IF(AND(I$14&lt;&gt;"",$AX$55="b"),Tech!S$55,"")</f>
      </c>
      <c r="J172" s="86">
        <f>IF(AND(J$14&lt;&gt;"",$AX$55="b"),Tech!T$55,"")</f>
      </c>
      <c r="K172" s="86">
        <f>IF(AND(K$14&lt;&gt;"",$AX$55="b"),Tech!U$55,"")</f>
      </c>
      <c r="L172" s="86">
        <f>IF(AND(L$14&lt;&gt;"",$AX$55="b"),Tech!V$55,"")</f>
      </c>
      <c r="M172" s="86">
        <f>IF(AND(M$14&lt;&gt;"",$AX$55="b"),Tech!W$55,"")</f>
      </c>
      <c r="N172" s="86">
        <f>IF(AND(N$14&lt;&gt;"",$AX$55="b"),Tech!X$55,"")</f>
      </c>
    </row>
    <row r="173" spans="2:14" ht="12.75">
      <c r="B173" s="118"/>
      <c r="C173" s="122" t="s">
        <v>56</v>
      </c>
      <c r="D173" s="124">
        <f t="shared" si="34"/>
      </c>
      <c r="E173" s="86">
        <f>IF($AX$55="c",Tech!AA$55,"")</f>
      </c>
      <c r="F173" s="86">
        <f>IF($AX$55="c",Tech!AB$55,"")</f>
      </c>
      <c r="G173" s="86">
        <f>IF(AND(G$14&lt;&gt;"",$AX$55="c"),Tech!AC$55,"")</f>
      </c>
      <c r="H173" s="86">
        <f>IF(AND(H$14&lt;&gt;"",$AX$55="c"),Tech!AD$55,"")</f>
      </c>
      <c r="I173" s="86">
        <f>IF(AND(I$14&lt;&gt;"",$AX$55="c"),Tech!AE$55,"")</f>
      </c>
      <c r="J173" s="86">
        <f>IF(AND(J$14&lt;&gt;"",$AX$55="c"),Tech!AF$55,"")</f>
      </c>
      <c r="K173" s="86">
        <f>IF(AND(K$14&lt;&gt;"",$AX$55="c"),Tech!AG$55,"")</f>
      </c>
      <c r="L173" s="86">
        <f>IF(AND(L$14&lt;&gt;"",$AX$55="c"),Tech!AH$55,"")</f>
      </c>
      <c r="M173" s="86">
        <f>IF(AND(M$14&lt;&gt;"",$AX$55="c"),Tech!AI$55,"")</f>
      </c>
      <c r="N173" s="86">
        <f>IF(AND(N$14&lt;&gt;"",$AX$55="c"),Tech!AJ$55,"")</f>
      </c>
    </row>
    <row r="174" spans="2:14" ht="12.75">
      <c r="B174" s="118"/>
      <c r="C174" s="122" t="s">
        <v>57</v>
      </c>
      <c r="D174" s="124">
        <f t="shared" si="34"/>
      </c>
      <c r="E174" s="86">
        <f>IF($AX$55="c",Tech!AM$55,"")</f>
      </c>
      <c r="F174" s="86">
        <f>IF($AX$55="c",Tech!AN$55,"")</f>
      </c>
      <c r="G174" s="86">
        <f>IF(AND(G$14&lt;&gt;"",$AX$55="c"),Tech!AO$55,"")</f>
      </c>
      <c r="H174" s="86">
        <f>IF(AND(H$14&lt;&gt;"",$AX$55="c"),Tech!AP$55,"")</f>
      </c>
      <c r="I174" s="86">
        <f>IF(AND(I$14&lt;&gt;"",$AX$55="c"),Tech!AQ$55,"")</f>
      </c>
      <c r="J174" s="86">
        <f>IF(AND(J$14&lt;&gt;"",$AX$55="c"),Tech!AR$55,"")</f>
      </c>
      <c r="K174" s="86">
        <f>IF(AND(K$14&lt;&gt;"",$AX$55="c"),Tech!AS$55,"")</f>
      </c>
      <c r="L174" s="86">
        <f>IF(AND(L$14&lt;&gt;"",$AX$55="c"),Tech!AT$55,"")</f>
      </c>
      <c r="M174" s="86">
        <f>IF(AND(M$14&lt;&gt;"",$AX$55="c"),Tech!AU$55,"")</f>
      </c>
      <c r="N174" s="86">
        <f>IF(AND(N$14&lt;&gt;"",$AX$55="c"),Tech!AV$55,"")</f>
      </c>
    </row>
    <row r="175" spans="2:14" ht="12.75">
      <c r="B175" s="118"/>
      <c r="C175" s="122" t="s">
        <v>58</v>
      </c>
      <c r="D175" s="124">
        <f t="shared" si="34"/>
      </c>
      <c r="E175" s="86">
        <f>IF($AX$55="c",Tech!AY$55,"")</f>
      </c>
      <c r="F175" s="86">
        <f>IF($AX$55="c",Tech!AZ$55,"")</f>
      </c>
      <c r="G175" s="86">
        <f>IF(AND(G$14&lt;&gt;"",$AX$55="c"),Tech!BA$55,"")</f>
      </c>
      <c r="H175" s="86">
        <f>IF(AND(H$14&lt;&gt;"",$AX$55="c"),Tech!BB$55,"")</f>
      </c>
      <c r="I175" s="86">
        <f>IF(AND(I$14&lt;&gt;"",$AX$55="c"),Tech!BC$55,"")</f>
      </c>
      <c r="J175" s="86">
        <f>IF(AND(J$14&lt;&gt;"",$AX$55="c"),Tech!BD$55,"")</f>
      </c>
      <c r="K175" s="86">
        <f>IF(AND(K$14&lt;&gt;"",$AX$55="c"),Tech!BE$55,"")</f>
      </c>
      <c r="L175" s="86">
        <f>IF(AND(L$14&lt;&gt;"",$AX$55="c"),Tech!BF$55,"")</f>
      </c>
      <c r="M175" s="86">
        <f>IF(AND(M$14&lt;&gt;"",$AX$55="c"),Tech!BG$55,"")</f>
      </c>
      <c r="N175" s="86">
        <f>IF(AND(N$14&lt;&gt;"",$AX$55="c"),Tech!BH$55,"")</f>
      </c>
    </row>
    <row r="176" spans="2:14" ht="12.75">
      <c r="B176" s="118" t="str">
        <f>AS56</f>
        <v>---</v>
      </c>
      <c r="C176" s="119" t="s">
        <v>55</v>
      </c>
      <c r="D176" s="124">
        <f t="shared" si="34"/>
      </c>
      <c r="E176" s="86">
        <f>IF($AX$56="b",Tech!O$56,"")</f>
      </c>
      <c r="F176" s="86">
        <f>IF($AX$56="b",Tech!P$56,"")</f>
      </c>
      <c r="G176" s="86">
        <f>IF(AND(G$14&lt;&gt;"",$AX$56="b"),Tech!Q$56,"")</f>
      </c>
      <c r="H176" s="86">
        <f>IF(AND(H$14&lt;&gt;"",$AX$56="b"),Tech!R$56,"")</f>
      </c>
      <c r="I176" s="86">
        <f>IF(AND(I$14&lt;&gt;"",$AX$56="b"),Tech!S$56,"")</f>
      </c>
      <c r="J176" s="86">
        <f>IF(AND(J$14&lt;&gt;"",$AX$56="b"),Tech!T$56,"")</f>
      </c>
      <c r="K176" s="86">
        <f>IF(AND(K$14&lt;&gt;"",$AX$56="b"),Tech!U$56,"")</f>
      </c>
      <c r="L176" s="86">
        <f>IF(AND(L$14&lt;&gt;"",$AX$56="b"),Tech!V$56,"")</f>
      </c>
      <c r="M176" s="86">
        <f>IF(AND(M$14&lt;&gt;"",$AX$56="b"),Tech!W$56,"")</f>
      </c>
      <c r="N176" s="86">
        <f>IF(AND(N$14&lt;&gt;"",$AX$56="b"),Tech!X$56,"")</f>
      </c>
    </row>
    <row r="177" spans="2:14" ht="12.75">
      <c r="B177" s="118"/>
      <c r="C177" s="122" t="s">
        <v>56</v>
      </c>
      <c r="D177" s="124">
        <f t="shared" si="34"/>
      </c>
      <c r="E177" s="86">
        <f>IF($AX$56="c",Tech!AA$56,"")</f>
      </c>
      <c r="F177" s="86">
        <f>IF($AX$56="c",Tech!AB$56,"")</f>
      </c>
      <c r="G177" s="86">
        <f>IF(AND(G$14&lt;&gt;"",$AX$56="c"),Tech!AC$56,"")</f>
      </c>
      <c r="H177" s="86">
        <f>IF(AND(H$14&lt;&gt;"",$AX$56="c"),Tech!AD$56,"")</f>
      </c>
      <c r="I177" s="86">
        <f>IF(AND(I$14&lt;&gt;"",$AX$56="c"),Tech!AE$56,"")</f>
      </c>
      <c r="J177" s="86">
        <f>IF(AND(J$14&lt;&gt;"",$AX$56="c"),Tech!AF$56,"")</f>
      </c>
      <c r="K177" s="86">
        <f>IF(AND(K$14&lt;&gt;"",$AX$56="c"),Tech!AG$56,"")</f>
      </c>
      <c r="L177" s="86">
        <f>IF(AND(L$14&lt;&gt;"",$AX$56="c"),Tech!AH$56,"")</f>
      </c>
      <c r="M177" s="86">
        <f>IF(AND(M$14&lt;&gt;"",$AX$56="c"),Tech!AI$56,"")</f>
      </c>
      <c r="N177" s="86">
        <f>IF(AND(N$14&lt;&gt;"",$AX$56="c"),Tech!AJ$56,"")</f>
      </c>
    </row>
    <row r="178" spans="2:14" ht="12.75">
      <c r="B178" s="118"/>
      <c r="C178" s="122" t="s">
        <v>57</v>
      </c>
      <c r="D178" s="124">
        <f t="shared" si="34"/>
      </c>
      <c r="E178" s="86">
        <f>IF($AX$56="c",Tech!AM$56,"")</f>
      </c>
      <c r="F178" s="86">
        <f>IF($AX$56="c",Tech!AN$56,"")</f>
      </c>
      <c r="G178" s="86">
        <f>IF(AND(G$14&lt;&gt;"",$AX$56="c"),Tech!AO$56,"")</f>
      </c>
      <c r="H178" s="86">
        <f>IF(AND(H$14&lt;&gt;"",$AX$56="c"),Tech!AP$56,"")</f>
      </c>
      <c r="I178" s="86">
        <f>IF(AND(I$14&lt;&gt;"",$AX$56="c"),Tech!AQ$56,"")</f>
      </c>
      <c r="J178" s="86">
        <f>IF(AND(J$14&lt;&gt;"",$AX$56="c"),Tech!AR$56,"")</f>
      </c>
      <c r="K178" s="86">
        <f>IF(AND(K$14&lt;&gt;"",$AX$56="c"),Tech!AS$56,"")</f>
      </c>
      <c r="L178" s="86">
        <f>IF(AND(L$14&lt;&gt;"",$AX$56="c"),Tech!AT$56,"")</f>
      </c>
      <c r="M178" s="86">
        <f>IF(AND(M$14&lt;&gt;"",$AX$56="c"),Tech!AU$56,"")</f>
      </c>
      <c r="N178" s="86">
        <f>IF(AND(N$14&lt;&gt;"",$AX$56="c"),Tech!AV$56,"")</f>
      </c>
    </row>
    <row r="179" spans="2:14" ht="12.75">
      <c r="B179" s="118"/>
      <c r="C179" s="122" t="s">
        <v>58</v>
      </c>
      <c r="D179" s="124">
        <f t="shared" si="34"/>
      </c>
      <c r="E179" s="86">
        <f>IF($AX$56="c",Tech!AY$56,"")</f>
      </c>
      <c r="F179" s="86">
        <f>IF($AX$56="c",Tech!AZ$56,"")</f>
      </c>
      <c r="G179" s="86">
        <f>IF(AND(G$14&lt;&gt;"",$AX$56="c"),Tech!BA$56,"")</f>
      </c>
      <c r="H179" s="86">
        <f>IF(AND(H$14&lt;&gt;"",$AX$56="c"),Tech!BB$56,"")</f>
      </c>
      <c r="I179" s="86">
        <f>IF(AND(I$14&lt;&gt;"",$AX$56="c"),Tech!BC$56,"")</f>
      </c>
      <c r="J179" s="86">
        <f>IF(AND(J$14&lt;&gt;"",$AX$56="c"),Tech!BD$56,"")</f>
      </c>
      <c r="K179" s="86">
        <f>IF(AND(K$14&lt;&gt;"",$AX$56="c"),Tech!BE$56,"")</f>
      </c>
      <c r="L179" s="86">
        <f>IF(AND(L$14&lt;&gt;"",$AX$56="c"),Tech!BF$56,"")</f>
      </c>
      <c r="M179" s="86">
        <f>IF(AND(M$14&lt;&gt;"",$AX$56="c"),Tech!BG$56,"")</f>
      </c>
      <c r="N179" s="86">
        <f>IF(AND(N$14&lt;&gt;"",$AX$56="c"),Tech!BH$56,"")</f>
      </c>
    </row>
    <row r="180" spans="2:14" ht="12.75">
      <c r="B180" s="118" t="str">
        <f>AS57</f>
        <v>---</v>
      </c>
      <c r="C180" s="119" t="s">
        <v>55</v>
      </c>
      <c r="D180" s="124">
        <f t="shared" si="34"/>
      </c>
      <c r="E180" s="86">
        <f>IF($AX$57="b",Tech!O$57,"")</f>
      </c>
      <c r="F180" s="86">
        <f>IF($AX$57="b",Tech!P$57,"")</f>
      </c>
      <c r="G180" s="86">
        <f>IF(AND(G$14&lt;&gt;"",$AX$57="b"),Tech!Q$57,"")</f>
      </c>
      <c r="H180" s="86">
        <f>IF(AND(H$14&lt;&gt;"",$AX$57="b"),Tech!R$57,"")</f>
      </c>
      <c r="I180" s="86">
        <f>IF(AND(I$14&lt;&gt;"",$AX$57="b"),Tech!S$57,"")</f>
      </c>
      <c r="J180" s="86">
        <f>IF(AND(J$14&lt;&gt;"",$AX$57="b"),Tech!T$57,"")</f>
      </c>
      <c r="K180" s="86">
        <f>IF(AND(K$14&lt;&gt;"",$AX$57="b"),Tech!U$57,"")</f>
      </c>
      <c r="L180" s="86">
        <f>IF(AND(L$14&lt;&gt;"",$AX$57="b"),Tech!V$57,"")</f>
      </c>
      <c r="M180" s="86">
        <f>IF(AND(M$14&lt;&gt;"",$AX$57="b"),Tech!W$57,"")</f>
      </c>
      <c r="N180" s="86">
        <f>IF(AND(N$14&lt;&gt;"",$AX$57="b"),Tech!X$57,"")</f>
      </c>
    </row>
    <row r="181" spans="3:14" ht="12.75">
      <c r="C181" s="122" t="s">
        <v>56</v>
      </c>
      <c r="D181" s="124">
        <f t="shared" si="34"/>
      </c>
      <c r="E181" s="86">
        <f>IF($AX$57="c",Tech!AA$57,"")</f>
      </c>
      <c r="F181" s="86">
        <f>IF($AX$57="c",Tech!AB$57,"")</f>
      </c>
      <c r="G181" s="86">
        <f>IF(AND(G$14&lt;&gt;"",$AX$57="c"),Tech!AC$57,"")</f>
      </c>
      <c r="H181" s="86">
        <f>IF(AND(H$14&lt;&gt;"",$AX$57="c"),Tech!AD$57,"")</f>
      </c>
      <c r="I181" s="86">
        <f>IF(AND(I$14&lt;&gt;"",$AX$57="c"),Tech!AE$57,"")</f>
      </c>
      <c r="J181" s="86">
        <f>IF(AND(J$14&lt;&gt;"",$AX$57="c"),Tech!AF$57,"")</f>
      </c>
      <c r="K181" s="86">
        <f>IF(AND(K$14&lt;&gt;"",$AX$57="c"),Tech!AG$57,"")</f>
      </c>
      <c r="L181" s="86">
        <f>IF(AND(L$14&lt;&gt;"",$AX$57="c"),Tech!AH$57,"")</f>
      </c>
      <c r="M181" s="86">
        <f>IF(AND(M$14&lt;&gt;"",$AX$57="c"),Tech!AI$57,"")</f>
      </c>
      <c r="N181" s="86">
        <f>IF(AND(N$14&lt;&gt;"",$AX$57="c"),Tech!AJ$57,"")</f>
      </c>
    </row>
    <row r="182" spans="2:14" ht="12.75">
      <c r="B182" s="118"/>
      <c r="C182" s="122" t="s">
        <v>57</v>
      </c>
      <c r="D182" s="124">
        <f t="shared" si="34"/>
      </c>
      <c r="E182" s="86">
        <f>IF($AX$57="c",Tech!AM$57,"")</f>
      </c>
      <c r="F182" s="86">
        <f>IF($AX$57="c",Tech!AN$57,"")</f>
      </c>
      <c r="G182" s="86">
        <f>IF(AND(G$14&lt;&gt;"",$AX$57="c"),Tech!AO$57,"")</f>
      </c>
      <c r="H182" s="86">
        <f>IF(AND(H$14&lt;&gt;"",$AX$57="c"),Tech!AP$57,"")</f>
      </c>
      <c r="I182" s="86">
        <f>IF(AND(I$14&lt;&gt;"",$AX$57="c"),Tech!AQ$57,"")</f>
      </c>
      <c r="J182" s="86">
        <f>IF(AND(J$14&lt;&gt;"",$AX$57="c"),Tech!AR$57,"")</f>
      </c>
      <c r="K182" s="86">
        <f>IF(AND(K$14&lt;&gt;"",$AX$57="c"),Tech!AS$57,"")</f>
      </c>
      <c r="L182" s="86">
        <f>IF(AND(L$14&lt;&gt;"",$AX$57="c"),Tech!AT$57,"")</f>
      </c>
      <c r="M182" s="86">
        <f>IF(AND(M$14&lt;&gt;"",$AX$57="c"),Tech!AU$57,"")</f>
      </c>
      <c r="N182" s="86">
        <f>IF(AND(N$14&lt;&gt;"",$AX$57="c"),Tech!AV$57,"")</f>
      </c>
    </row>
    <row r="183" spans="2:14" ht="12.75">
      <c r="B183" s="118"/>
      <c r="C183" s="122" t="s">
        <v>58</v>
      </c>
      <c r="D183" s="124">
        <f t="shared" si="34"/>
      </c>
      <c r="E183" s="86">
        <f>IF($AX$57="c",Tech!AY$57,"")</f>
      </c>
      <c r="F183" s="86">
        <f>IF($AX$57="c",Tech!AZ$57,"")</f>
      </c>
      <c r="G183" s="86">
        <f>IF(AND(G$14&lt;&gt;"",$AX$57="c"),Tech!BA$57,"")</f>
      </c>
      <c r="H183" s="86">
        <f>IF(AND(H$14&lt;&gt;"",$AX$57="c"),Tech!BB$57,"")</f>
      </c>
      <c r="I183" s="86">
        <f>IF(AND(I$14&lt;&gt;"",$AX$57="c"),Tech!BC$57,"")</f>
      </c>
      <c r="J183" s="86">
        <f>IF(AND(J$14&lt;&gt;"",$AX$57="c"),Tech!BD$57,"")</f>
      </c>
      <c r="K183" s="86">
        <f>IF(AND(K$14&lt;&gt;"",$AX$57="c"),Tech!BE$57,"")</f>
      </c>
      <c r="L183" s="86">
        <f>IF(AND(L$14&lt;&gt;"",$AX$57="c"),Tech!BF$57,"")</f>
      </c>
      <c r="M183" s="86">
        <f>IF(AND(M$14&lt;&gt;"",$AX$57="c"),Tech!BG$57,"")</f>
      </c>
      <c r="N183" s="86">
        <f>IF(AND(N$14&lt;&gt;"",$AX$57="c"),Tech!BH$57,"")</f>
      </c>
    </row>
    <row r="184" spans="2:14" ht="12.75">
      <c r="B184" s="118" t="str">
        <f>AS58</f>
        <v>---</v>
      </c>
      <c r="C184" s="119" t="s">
        <v>55</v>
      </c>
      <c r="D184" s="124">
        <f t="shared" si="34"/>
      </c>
      <c r="E184" s="86">
        <f>IF($AX$58="b",Tech!O$58,"")</f>
      </c>
      <c r="F184" s="86">
        <f>IF($AX$58="b",Tech!P$58,"")</f>
      </c>
      <c r="G184" s="86">
        <f>IF(AND(G$14&lt;&gt;"",$AX$58="b"),Tech!Q$58,"")</f>
      </c>
      <c r="H184" s="86">
        <f>IF(AND(H$14&lt;&gt;"",$AX$58="b"),Tech!R$58,"")</f>
      </c>
      <c r="I184" s="86">
        <f>IF(AND(I$14&lt;&gt;"",$AX$58="b"),Tech!S$58,"")</f>
      </c>
      <c r="J184" s="86">
        <f>IF(AND(J$14&lt;&gt;"",$AX$58="b"),Tech!T$58,"")</f>
      </c>
      <c r="K184" s="86">
        <f>IF(AND(K$14&lt;&gt;"",$AX$58="b"),Tech!U$58,"")</f>
      </c>
      <c r="L184" s="86">
        <f>IF(AND(L$14&lt;&gt;"",$AX$58="b"),Tech!V$58,"")</f>
      </c>
      <c r="M184" s="86">
        <f>IF(AND(M$14&lt;&gt;"",$AX$58="b"),Tech!W$58,"")</f>
      </c>
      <c r="N184" s="86">
        <f>IF(AND(N$14&lt;&gt;"",$AX$58="b"),Tech!X$58,"")</f>
      </c>
    </row>
    <row r="185" spans="2:14" ht="12.75">
      <c r="B185" s="118"/>
      <c r="C185" s="122" t="s">
        <v>56</v>
      </c>
      <c r="D185" s="124">
        <f t="shared" si="34"/>
      </c>
      <c r="E185" s="86">
        <f>IF($AX$58="c",Tech!AA$58,"")</f>
      </c>
      <c r="F185" s="86">
        <f>IF($AX$58="c",Tech!AB$58,"")</f>
      </c>
      <c r="G185" s="86">
        <f>IF(AND(G$14&lt;&gt;"",$AX$58="c"),Tech!AC$58,"")</f>
      </c>
      <c r="H185" s="86">
        <f>IF(AND(H$14&lt;&gt;"",$AX$58="c"),Tech!AD$58,"")</f>
      </c>
      <c r="I185" s="86">
        <f>IF(AND(I$14&lt;&gt;"",$AX$58="c"),Tech!AE$58,"")</f>
      </c>
      <c r="J185" s="86">
        <f>IF(AND(J$14&lt;&gt;"",$AX$58="c"),Tech!AF$58,"")</f>
      </c>
      <c r="K185" s="86">
        <f>IF(AND(K$14&lt;&gt;"",$AX$58="c"),Tech!AG$58,"")</f>
      </c>
      <c r="L185" s="86">
        <f>IF(AND(L$14&lt;&gt;"",$AX$58="c"),Tech!AH$58,"")</f>
      </c>
      <c r="M185" s="86">
        <f>IF(AND(M$14&lt;&gt;"",$AX$58="c"),Tech!AI$58,"")</f>
      </c>
      <c r="N185" s="86">
        <f>IF(AND(N$14&lt;&gt;"",$AX$58="c"),Tech!AJ$58,"")</f>
      </c>
    </row>
    <row r="186" spans="3:14" ht="12.75">
      <c r="C186" s="122" t="s">
        <v>57</v>
      </c>
      <c r="D186" s="124">
        <f t="shared" si="34"/>
      </c>
      <c r="E186" s="86">
        <f>IF($AX$58="c",Tech!AM$58,"")</f>
      </c>
      <c r="F186" s="86">
        <f>IF($AX$58="c",Tech!AN$58,"")</f>
      </c>
      <c r="G186" s="86">
        <f>IF(AND(G$14&lt;&gt;"",$AX$58="c"),Tech!AO$58,"")</f>
      </c>
      <c r="H186" s="86">
        <f>IF(AND(H$14&lt;&gt;"",$AX$58="c"),Tech!AP$58,"")</f>
      </c>
      <c r="I186" s="86">
        <f>IF(AND(I$14&lt;&gt;"",$AX$58="c"),Tech!AQ$58,"")</f>
      </c>
      <c r="J186" s="86">
        <f>IF(AND(J$14&lt;&gt;"",$AX$58="c"),Tech!AR$58,"")</f>
      </c>
      <c r="K186" s="86">
        <f>IF(AND(K$14&lt;&gt;"",$AX$58="c"),Tech!AS$58,"")</f>
      </c>
      <c r="L186" s="86">
        <f>IF(AND(L$14&lt;&gt;"",$AX$58="c"),Tech!AT$58,"")</f>
      </c>
      <c r="M186" s="86">
        <f>IF(AND(M$14&lt;&gt;"",$AX$58="c"),Tech!AU$58,"")</f>
      </c>
      <c r="N186" s="86">
        <f>IF(AND(N$14&lt;&gt;"",$AX$58="c"),Tech!AV$58,"")</f>
      </c>
    </row>
    <row r="187" spans="2:14" ht="12.75">
      <c r="B187" s="118"/>
      <c r="C187" s="122" t="s">
        <v>58</v>
      </c>
      <c r="D187" s="124">
        <f t="shared" si="34"/>
      </c>
      <c r="E187" s="86">
        <f>IF($AX$58="c",Tech!AY$58,"")</f>
      </c>
      <c r="F187" s="86">
        <f>IF($AX$58="c",Tech!AZ$58,"")</f>
      </c>
      <c r="G187" s="86">
        <f>IF(AND(G$14&lt;&gt;"",$AX$58="c"),Tech!BA$58,"")</f>
      </c>
      <c r="H187" s="86">
        <f>IF(AND(H$14&lt;&gt;"",$AX$58="c"),Tech!BB$58,"")</f>
      </c>
      <c r="I187" s="86">
        <f>IF(AND(I$14&lt;&gt;"",$AX$58="c"),Tech!BC$58,"")</f>
      </c>
      <c r="J187" s="86">
        <f>IF(AND(J$14&lt;&gt;"",$AX$58="c"),Tech!BD$58,"")</f>
      </c>
      <c r="K187" s="86">
        <f>IF(AND(K$14&lt;&gt;"",$AX$58="c"),Tech!BE$58,"")</f>
      </c>
      <c r="L187" s="86">
        <f>IF(AND(L$14&lt;&gt;"",$AX$58="c"),Tech!BF$58,"")</f>
      </c>
      <c r="M187" s="86">
        <f>IF(AND(M$14&lt;&gt;"",$AX$58="c"),Tech!BG$58,"")</f>
      </c>
      <c r="N187" s="86">
        <f>IF(AND(N$14&lt;&gt;"",$AX$58="c"),Tech!BH$58,"")</f>
      </c>
    </row>
    <row r="188" spans="2:14" ht="12.75">
      <c r="B188" s="118" t="str">
        <f>AS59</f>
        <v>---</v>
      </c>
      <c r="C188" s="119" t="s">
        <v>55</v>
      </c>
      <c r="D188" s="124">
        <f t="shared" si="34"/>
      </c>
      <c r="E188" s="86">
        <f>IF($AX$59="b",Tech!O$59,"")</f>
      </c>
      <c r="F188" s="86">
        <f>IF($AX$59="b",Tech!P$59,"")</f>
      </c>
      <c r="G188" s="86">
        <f>IF(AND(G$14&lt;&gt;"",$AX$59="b"),Tech!Q$59,"")</f>
      </c>
      <c r="H188" s="86">
        <f>IF(AND(H$14&lt;&gt;"",$AX$59="b"),Tech!R$59,"")</f>
      </c>
      <c r="I188" s="86">
        <f>IF(AND(I$14&lt;&gt;"",$AX$59="b"),Tech!S$59,"")</f>
      </c>
      <c r="J188" s="86">
        <f>IF(AND(J$14&lt;&gt;"",$AX$59="b"),Tech!T$59,"")</f>
      </c>
      <c r="K188" s="86">
        <f>IF(AND(K$14&lt;&gt;"",$AX$59="b"),Tech!U$59,"")</f>
      </c>
      <c r="L188" s="86">
        <f>IF(AND(L$14&lt;&gt;"",$AX$59="b"),Tech!V$59,"")</f>
      </c>
      <c r="M188" s="86">
        <f>IF(AND(M$14&lt;&gt;"",$AX$59="b"),Tech!W$59,"")</f>
      </c>
      <c r="N188" s="86">
        <f>IF(AND(N$14&lt;&gt;"",$AX$59="b"),Tech!X$59,"")</f>
      </c>
    </row>
    <row r="189" spans="2:14" ht="12.75">
      <c r="B189" s="118"/>
      <c r="C189" s="122" t="s">
        <v>56</v>
      </c>
      <c r="D189" s="124">
        <f t="shared" si="34"/>
      </c>
      <c r="E189" s="86">
        <f>IF($AX$59="c",Tech!AA$59,"")</f>
      </c>
      <c r="F189" s="86">
        <f>IF($AX$59="c",Tech!AB$59,"")</f>
      </c>
      <c r="G189" s="86">
        <f>IF(AND(G$14&lt;&gt;"",$AX$59="c"),Tech!AC$59,"")</f>
      </c>
      <c r="H189" s="86">
        <f>IF(AND(H$14&lt;&gt;"",$AX$59="c"),Tech!AD$59,"")</f>
      </c>
      <c r="I189" s="86">
        <f>IF(AND(I$14&lt;&gt;"",$AX$59="c"),Tech!AE$59,"")</f>
      </c>
      <c r="J189" s="86">
        <f>IF(AND(J$14&lt;&gt;"",$AX$59="c"),Tech!AF$59,"")</f>
      </c>
      <c r="K189" s="86">
        <f>IF(AND(K$14&lt;&gt;"",$AX$59="c"),Tech!AG$59,"")</f>
      </c>
      <c r="L189" s="86">
        <f>IF(AND(L$14&lt;&gt;"",$AX$59="c"),Tech!AH$59,"")</f>
      </c>
      <c r="M189" s="86">
        <f>IF(AND(M$14&lt;&gt;"",$AX$59="c"),Tech!AI$59,"")</f>
      </c>
      <c r="N189" s="86">
        <f>IF(AND(N$14&lt;&gt;"",$AX$59="c"),Tech!AJ$59,"")</f>
      </c>
    </row>
    <row r="190" spans="2:14" ht="12.75">
      <c r="B190" s="118"/>
      <c r="C190" s="122" t="s">
        <v>57</v>
      </c>
      <c r="D190" s="124">
        <f t="shared" si="34"/>
      </c>
      <c r="E190" s="86">
        <f>IF($AX$59="c",Tech!AM$59,"")</f>
      </c>
      <c r="F190" s="86">
        <f>IF($AX$59="c",Tech!AN$59,"")</f>
      </c>
      <c r="G190" s="86">
        <f>IF(AND(G$14&lt;&gt;"",$AX$59="c"),Tech!AO$59,"")</f>
      </c>
      <c r="H190" s="86">
        <f>IF(AND(H$14&lt;&gt;"",$AX$59="c"),Tech!AP$59,"")</f>
      </c>
      <c r="I190" s="86">
        <f>IF(AND(I$14&lt;&gt;"",$AX$59="c"),Tech!AQ$59,"")</f>
      </c>
      <c r="J190" s="86">
        <f>IF(AND(J$14&lt;&gt;"",$AX$59="c"),Tech!AR$59,"")</f>
      </c>
      <c r="K190" s="86">
        <f>IF(AND(K$14&lt;&gt;"",$AX$59="c"),Tech!AS$59,"")</f>
      </c>
      <c r="L190" s="86">
        <f>IF(AND(L$14&lt;&gt;"",$AX$59="c"),Tech!AT$59,"")</f>
      </c>
      <c r="M190" s="86">
        <f>IF(AND(M$14&lt;&gt;"",$AX$59="c"),Tech!AU$59,"")</f>
      </c>
      <c r="N190" s="86">
        <f>IF(AND(N$14&lt;&gt;"",$AX$59="c"),Tech!AV$59,"")</f>
      </c>
    </row>
    <row r="191" spans="3:14" ht="12.75">
      <c r="C191" s="122" t="s">
        <v>58</v>
      </c>
      <c r="D191" s="124">
        <f t="shared" si="34"/>
      </c>
      <c r="E191" s="86">
        <f>IF($AX$59="c",Tech!AY$59,"")</f>
      </c>
      <c r="F191" s="86">
        <f>IF($AX$59="c",Tech!AZ$59,"")</f>
      </c>
      <c r="G191" s="86">
        <f>IF(AND(G$14&lt;&gt;"",$AX$59="c"),Tech!BA$59,"")</f>
      </c>
      <c r="H191" s="86">
        <f>IF(AND(H$14&lt;&gt;"",$AX$59="c"),Tech!BB$59,"")</f>
      </c>
      <c r="I191" s="86">
        <f>IF(AND(I$14&lt;&gt;"",$AX$59="c"),Tech!BC$59,"")</f>
      </c>
      <c r="J191" s="86">
        <f>IF(AND(J$14&lt;&gt;"",$AX$59="c"),Tech!BD$59,"")</f>
      </c>
      <c r="K191" s="86">
        <f>IF(AND(K$14&lt;&gt;"",$AX$59="c"),Tech!BE$59,"")</f>
      </c>
      <c r="L191" s="86">
        <f>IF(AND(L$14&lt;&gt;"",$AX$59="c"),Tech!BF$59,"")</f>
      </c>
      <c r="M191" s="86">
        <f>IF(AND(M$14&lt;&gt;"",$AX$59="c"),Tech!BG$59,"")</f>
      </c>
      <c r="N191" s="86">
        <f>IF(AND(N$14&lt;&gt;"",$AX$59="c"),Tech!BH$59,"")</f>
      </c>
    </row>
    <row r="192" spans="2:14" ht="12.75">
      <c r="B192" s="118" t="str">
        <f>AS60</f>
        <v>---</v>
      </c>
      <c r="C192" s="119" t="s">
        <v>55</v>
      </c>
      <c r="D192" s="124">
        <f t="shared" si="34"/>
      </c>
      <c r="E192" s="86">
        <f>IF($AX$60="b",Tech!O$60,"")</f>
      </c>
      <c r="F192" s="86">
        <f>IF($AX$60="b",Tech!P$60,"")</f>
      </c>
      <c r="G192" s="86">
        <f>IF(AND(G$14&lt;&gt;"",$AX$60="b"),Tech!Q$60,"")</f>
      </c>
      <c r="H192" s="86">
        <f>IF(AND(H$14&lt;&gt;"",$AX$60="b"),Tech!R$60,"")</f>
      </c>
      <c r="I192" s="86">
        <f>IF(AND(I$14&lt;&gt;"",$AX$60="b"),Tech!S$60,"")</f>
      </c>
      <c r="J192" s="86">
        <f>IF(AND(J$14&lt;&gt;"",$AX$60="b"),Tech!T$60,"")</f>
      </c>
      <c r="K192" s="86">
        <f>IF(AND(K$14&lt;&gt;"",$AX$60="b"),Tech!U$60,"")</f>
      </c>
      <c r="L192" s="86">
        <f>IF(AND(L$14&lt;&gt;"",$AX$60="b"),Tech!V$60,"")</f>
      </c>
      <c r="M192" s="86">
        <f>IF(AND(M$14&lt;&gt;"",$AX$60="b"),Tech!W$60,"")</f>
      </c>
      <c r="N192" s="86">
        <f>IF(AND(N$14&lt;&gt;"",$AX$60="b"),Tech!X$60,"")</f>
      </c>
    </row>
    <row r="193" spans="2:14" ht="12.75">
      <c r="B193" s="118"/>
      <c r="C193" s="122" t="s">
        <v>56</v>
      </c>
      <c r="D193" s="124">
        <f t="shared" si="34"/>
      </c>
      <c r="E193" s="86">
        <f>IF($AX$60="c",Tech!AA$60,"")</f>
      </c>
      <c r="F193" s="86">
        <f>IF($AX$60="c",Tech!AB$60,"")</f>
      </c>
      <c r="G193" s="86">
        <f>IF(AND(G$14&lt;&gt;"",$AX$60="c"),Tech!AC$60,"")</f>
      </c>
      <c r="H193" s="86">
        <f>IF(AND(H$14&lt;&gt;"",$AX$60="c"),Tech!AD$60,"")</f>
      </c>
      <c r="I193" s="86">
        <f>IF(AND(I$14&lt;&gt;"",$AX$60="c"),Tech!AE$60,"")</f>
      </c>
      <c r="J193" s="86">
        <f>IF(AND(J$14&lt;&gt;"",$AX$60="c"),Tech!AF$60,"")</f>
      </c>
      <c r="K193" s="86">
        <f>IF(AND(K$14&lt;&gt;"",$AX$60="c"),Tech!AG$60,"")</f>
      </c>
      <c r="L193" s="86">
        <f>IF(AND(L$14&lt;&gt;"",$AX$60="c"),Tech!AH$60,"")</f>
      </c>
      <c r="M193" s="86">
        <f>IF(AND(M$14&lt;&gt;"",$AX$60="c"),Tech!AI$60,"")</f>
      </c>
      <c r="N193" s="86">
        <f>IF(AND(N$14&lt;&gt;"",$AX$60="c"),Tech!AJ$60,"")</f>
      </c>
    </row>
    <row r="194" spans="2:14" ht="12.75">
      <c r="B194" s="118"/>
      <c r="C194" s="122" t="s">
        <v>57</v>
      </c>
      <c r="D194" s="124">
        <f t="shared" si="34"/>
      </c>
      <c r="E194" s="86">
        <f>IF($AX$60="c",Tech!AM$60,"")</f>
      </c>
      <c r="F194" s="86">
        <f>IF($AX$60="c",Tech!AN$60,"")</f>
      </c>
      <c r="G194" s="86">
        <f>IF(AND(G$14&lt;&gt;"",$AX$60="c"),Tech!AO$60,"")</f>
      </c>
      <c r="H194" s="86">
        <f>IF(AND(H$14&lt;&gt;"",$AX$60="c"),Tech!AP$60,"")</f>
      </c>
      <c r="I194" s="86">
        <f>IF(AND(I$14&lt;&gt;"",$AX$60="c"),Tech!AQ$60,"")</f>
      </c>
      <c r="J194" s="86">
        <f>IF(AND(J$14&lt;&gt;"",$AX$60="c"),Tech!AR$60,"")</f>
      </c>
      <c r="K194" s="86">
        <f>IF(AND(K$14&lt;&gt;"",$AX$60="c"),Tech!AS$60,"")</f>
      </c>
      <c r="L194" s="86">
        <f>IF(AND(L$14&lt;&gt;"",$AX$60="c"),Tech!AT$60,"")</f>
      </c>
      <c r="M194" s="86">
        <f>IF(AND(M$14&lt;&gt;"",$AX$60="c"),Tech!AU$60,"")</f>
      </c>
      <c r="N194" s="86">
        <f>IF(AND(N$14&lt;&gt;"",$AX$60="c"),Tech!AV$60,"")</f>
      </c>
    </row>
    <row r="195" spans="2:14" ht="12.75">
      <c r="B195" s="118"/>
      <c r="C195" s="122" t="s">
        <v>58</v>
      </c>
      <c r="D195" s="124">
        <f t="shared" si="34"/>
      </c>
      <c r="E195" s="86">
        <f>IF($AX$60="c",Tech!AY$60,"")</f>
      </c>
      <c r="F195" s="86">
        <f>IF($AX$60="c",Tech!AZ$60,"")</f>
      </c>
      <c r="G195" s="86">
        <f>IF(AND(G$14&lt;&gt;"",$AX$60="c"),Tech!BA$60,"")</f>
      </c>
      <c r="H195" s="86">
        <f>IF(AND(H$14&lt;&gt;"",$AX$60="c"),Tech!BB$60,"")</f>
      </c>
      <c r="I195" s="86">
        <f>IF(AND(I$14&lt;&gt;"",$AX$60="c"),Tech!BC$60,"")</f>
      </c>
      <c r="J195" s="86">
        <f>IF(AND(J$14&lt;&gt;"",$AX$60="c"),Tech!BD$60,"")</f>
      </c>
      <c r="K195" s="86">
        <f>IF(AND(K$14&lt;&gt;"",$AX$60="c"),Tech!BE$60,"")</f>
      </c>
      <c r="L195" s="86">
        <f>IF(AND(L$14&lt;&gt;"",$AX$60="c"),Tech!BF$60,"")</f>
      </c>
      <c r="M195" s="86">
        <f>IF(AND(M$14&lt;&gt;"",$AX$60="c"),Tech!BG$60,"")</f>
      </c>
      <c r="N195" s="86">
        <f>IF(AND(N$14&lt;&gt;"",$AX$60="c"),Tech!BH$60,"")</f>
      </c>
    </row>
    <row r="196" spans="2:14" ht="12.75">
      <c r="B196" s="118" t="str">
        <f>AS61</f>
        <v>---</v>
      </c>
      <c r="C196" s="119" t="s">
        <v>55</v>
      </c>
      <c r="D196" s="124">
        <f t="shared" si="34"/>
      </c>
      <c r="E196" s="86">
        <f>IF($AX$61="b",Tech!O$61,"")</f>
      </c>
      <c r="F196" s="86">
        <f>IF($AX$61="b",Tech!P$61,"")</f>
      </c>
      <c r="G196" s="86">
        <f>IF(AND(G$14&lt;&gt;"",$AX$61="b"),Tech!Q$61,"")</f>
      </c>
      <c r="H196" s="86">
        <f>IF(AND(H$14&lt;&gt;"",$AX$61="b"),Tech!R$61,"")</f>
      </c>
      <c r="I196" s="86">
        <f>IF(AND(I$14&lt;&gt;"",$AX$61="b"),Tech!S$61,"")</f>
      </c>
      <c r="J196" s="86">
        <f>IF(AND(J$14&lt;&gt;"",$AX$61="b"),Tech!T$61,"")</f>
      </c>
      <c r="K196" s="86">
        <f>IF(AND(K$14&lt;&gt;"",$AX$61="b"),Tech!U$61,"")</f>
      </c>
      <c r="L196" s="86">
        <f>IF(AND(L$14&lt;&gt;"",$AX$61="b"),Tech!V$61,"")</f>
      </c>
      <c r="M196" s="86">
        <f>IF(AND(M$14&lt;&gt;"",$AX$61="b"),Tech!W$61,"")</f>
      </c>
      <c r="N196" s="86">
        <f>IF(AND(N$14&lt;&gt;"",$AX$61="b"),Tech!X$61,"")</f>
      </c>
    </row>
    <row r="197" spans="2:14" ht="12.75">
      <c r="B197" s="118"/>
      <c r="C197" s="122" t="s">
        <v>56</v>
      </c>
      <c r="D197" s="124">
        <f t="shared" si="34"/>
      </c>
      <c r="E197" s="86">
        <f>IF($AX$61="c",Tech!AA$61,"")</f>
      </c>
      <c r="F197" s="86">
        <f>IF($AX$61="c",Tech!AB$61,"")</f>
      </c>
      <c r="G197" s="86">
        <f>IF(AND(G$14&lt;&gt;"",$AX$61="c"),Tech!AC$61,"")</f>
      </c>
      <c r="H197" s="86">
        <f>IF(AND(H$14&lt;&gt;"",$AX$61="c"),Tech!AD$61,"")</f>
      </c>
      <c r="I197" s="86">
        <f>IF(AND(I$14&lt;&gt;"",$AX$61="c"),Tech!AE$61,"")</f>
      </c>
      <c r="J197" s="86">
        <f>IF(AND(J$14&lt;&gt;"",$AX$61="c"),Tech!AF$61,"")</f>
      </c>
      <c r="K197" s="86">
        <f>IF(AND(K$14&lt;&gt;"",$AX$61="c"),Tech!AG$61,"")</f>
      </c>
      <c r="L197" s="86">
        <f>IF(AND(L$14&lt;&gt;"",$AX$61="c"),Tech!AH$61,"")</f>
      </c>
      <c r="M197" s="86">
        <f>IF(AND(M$14&lt;&gt;"",$AX$61="c"),Tech!AI$61,"")</f>
      </c>
      <c r="N197" s="86">
        <f>IF(AND(N$14&lt;&gt;"",$AX$61="c"),Tech!AJ$61,"")</f>
      </c>
    </row>
    <row r="198" spans="2:14" ht="12.75">
      <c r="B198" s="118"/>
      <c r="C198" s="122" t="s">
        <v>57</v>
      </c>
      <c r="D198" s="124">
        <f t="shared" si="34"/>
      </c>
      <c r="E198" s="86">
        <f>IF($AX$61="c",Tech!AM$61,"")</f>
      </c>
      <c r="F198" s="86">
        <f>IF($AX$61="c",Tech!AN$61,"")</f>
      </c>
      <c r="G198" s="86">
        <f>IF(AND(G$14&lt;&gt;"",$AX$61="c"),Tech!AO$61,"")</f>
      </c>
      <c r="H198" s="86">
        <f>IF(AND(H$14&lt;&gt;"",$AX$61="c"),Tech!AP$61,"")</f>
      </c>
      <c r="I198" s="86">
        <f>IF(AND(I$14&lt;&gt;"",$AX$61="c"),Tech!AQ$61,"")</f>
      </c>
      <c r="J198" s="86">
        <f>IF(AND(J$14&lt;&gt;"",$AX$61="c"),Tech!AR$61,"")</f>
      </c>
      <c r="K198" s="86">
        <f>IF(AND(K$14&lt;&gt;"",$AX$61="c"),Tech!AS$61,"")</f>
      </c>
      <c r="L198" s="86">
        <f>IF(AND(L$14&lt;&gt;"",$AX$61="c"),Tech!AT$61,"")</f>
      </c>
      <c r="M198" s="86">
        <f>IF(AND(M$14&lt;&gt;"",$AX$61="c"),Tech!AU$61,"")</f>
      </c>
      <c r="N198" s="86">
        <f>IF(AND(N$14&lt;&gt;"",$AX$61="c"),Tech!AV$61,"")</f>
      </c>
    </row>
    <row r="199" spans="2:14" ht="12.75">
      <c r="B199" s="118"/>
      <c r="C199" s="122" t="s">
        <v>58</v>
      </c>
      <c r="D199" s="124">
        <f t="shared" si="34"/>
      </c>
      <c r="E199" s="86">
        <f>IF($AX$61="c",Tech!AY$61,"")</f>
      </c>
      <c r="F199" s="86">
        <f>IF($AX$61="c",Tech!AZ$61,"")</f>
      </c>
      <c r="G199" s="86">
        <f>IF(AND(G$14&lt;&gt;"",$AX$61="c"),Tech!BA$61,"")</f>
      </c>
      <c r="H199" s="86">
        <f>IF(AND(H$14&lt;&gt;"",$AX$61="c"),Tech!BB$61,"")</f>
      </c>
      <c r="I199" s="86">
        <f>IF(AND(I$14&lt;&gt;"",$AX$61="c"),Tech!BC$61,"")</f>
      </c>
      <c r="J199" s="86">
        <f>IF(AND(J$14&lt;&gt;"",$AX$61="c"),Tech!BD$61,"")</f>
      </c>
      <c r="K199" s="86">
        <f>IF(AND(K$14&lt;&gt;"",$AX$61="c"),Tech!BE$61,"")</f>
      </c>
      <c r="L199" s="86">
        <f>IF(AND(L$14&lt;&gt;"",$AX$61="c"),Tech!BF$61,"")</f>
      </c>
      <c r="M199" s="86">
        <f>IF(AND(M$14&lt;&gt;"",$AX$61="c"),Tech!BG$61,"")</f>
      </c>
      <c r="N199" s="86">
        <f>IF(AND(N$14&lt;&gt;"",$AX$61="c"),Tech!BH$61,"")</f>
      </c>
    </row>
    <row r="200" spans="2:14" ht="12.75">
      <c r="B200" s="118" t="str">
        <f>AS61</f>
        <v>---</v>
      </c>
      <c r="C200" s="119" t="s">
        <v>55</v>
      </c>
      <c r="D200" s="124">
        <f t="shared" si="34"/>
      </c>
      <c r="E200" s="86">
        <f>IF($AX$62="b",Tech!O$62,"")</f>
      </c>
      <c r="F200" s="86">
        <f>IF($AX$62="b",Tech!P$62,"")</f>
      </c>
      <c r="G200" s="86">
        <f>IF(AND(G$14&lt;&gt;"",$AX$62="b"),Tech!Q$62,"")</f>
      </c>
      <c r="H200" s="86">
        <f>IF(AND(H$14&lt;&gt;"",$AX$62="b"),Tech!R$62,"")</f>
      </c>
      <c r="I200" s="86">
        <f>IF(AND(I$14&lt;&gt;"",$AX$62="b"),Tech!S$62,"")</f>
      </c>
      <c r="J200" s="86">
        <f>IF(AND(J$14&lt;&gt;"",$AX$62="b"),Tech!T$62,"")</f>
      </c>
      <c r="K200" s="86">
        <f>IF(AND(K$14&lt;&gt;"",$AX$62="b"),Tech!U$62,"")</f>
      </c>
      <c r="L200" s="86">
        <f>IF(AND(L$14&lt;&gt;"",$AX$62="b"),Tech!V$62,"")</f>
      </c>
      <c r="M200" s="86">
        <f>IF(AND(M$14&lt;&gt;"",$AX$62="b"),Tech!W$62,"")</f>
      </c>
      <c r="N200" s="86">
        <f>IF(AND(N$14&lt;&gt;"",$AX$62="b"),Tech!X$62,"")</f>
      </c>
    </row>
    <row r="201" spans="3:14" ht="12.75">
      <c r="C201" s="122" t="s">
        <v>56</v>
      </c>
      <c r="D201" s="124">
        <f t="shared" si="34"/>
      </c>
      <c r="E201" s="86">
        <f>IF($AX$62="c",Tech!AA$62,"")</f>
      </c>
      <c r="F201" s="86">
        <f>IF($AX$62="c",Tech!AB$62,"")</f>
      </c>
      <c r="G201" s="86">
        <f>IF(AND(G$14&lt;&gt;"",$AX$62="c"),Tech!AC$62,"")</f>
      </c>
      <c r="H201" s="86">
        <f>IF(AND(H$14&lt;&gt;"",$AX$62="c"),Tech!AD$62,"")</f>
      </c>
      <c r="I201" s="86">
        <f>IF(AND(I$14&lt;&gt;"",$AX$62="c"),Tech!AE$62,"")</f>
      </c>
      <c r="J201" s="86">
        <f>IF(AND(J$14&lt;&gt;"",$AX$62="c"),Tech!AF$62,"")</f>
      </c>
      <c r="K201" s="86">
        <f>IF(AND(K$14&lt;&gt;"",$AX$62="c"),Tech!AG$62,"")</f>
      </c>
      <c r="L201" s="86">
        <f>IF(AND(L$14&lt;&gt;"",$AX$62="c"),Tech!AH$62,"")</f>
      </c>
      <c r="M201" s="86">
        <f>IF(AND(M$14&lt;&gt;"",$AX$62="c"),Tech!AI$62,"")</f>
      </c>
      <c r="N201" s="86">
        <f>IF(AND(N$14&lt;&gt;"",$AX$62="c"),Tech!AJ$62,"")</f>
      </c>
    </row>
    <row r="202" spans="2:14" ht="12.75">
      <c r="B202" s="118"/>
      <c r="C202" s="122" t="s">
        <v>57</v>
      </c>
      <c r="D202" s="124">
        <f t="shared" si="34"/>
      </c>
      <c r="E202" s="86">
        <f>IF($AX$62="c",Tech!AM$62,"")</f>
      </c>
      <c r="F202" s="86">
        <f>IF($AX$62="c",Tech!AN$62,"")</f>
      </c>
      <c r="G202" s="86">
        <f>IF(AND(G$14&lt;&gt;"",$AX$62="c"),Tech!AO$62,"")</f>
      </c>
      <c r="H202" s="86">
        <f>IF(AND(H$14&lt;&gt;"",$AX$62="c"),Tech!AP$62,"")</f>
      </c>
      <c r="I202" s="86">
        <f>IF(AND(I$14&lt;&gt;"",$AX$62="c"),Tech!AQ$62,"")</f>
      </c>
      <c r="J202" s="86">
        <f>IF(AND(J$14&lt;&gt;"",$AX$62="c"),Tech!AR$62,"")</f>
      </c>
      <c r="K202" s="86">
        <f>IF(AND(K$14&lt;&gt;"",$AX$62="c"),Tech!AS$62,"")</f>
      </c>
      <c r="L202" s="86">
        <f>IF(AND(L$14&lt;&gt;"",$AX$62="c"),Tech!AT$62,"")</f>
      </c>
      <c r="M202" s="86">
        <f>IF(AND(M$14&lt;&gt;"",$AX$62="c"),Tech!AU$62,"")</f>
      </c>
      <c r="N202" s="86">
        <f>IF(AND(N$14&lt;&gt;"",$AX$62="c"),Tech!AV$62,"")</f>
      </c>
    </row>
    <row r="203" spans="2:14" ht="12.75">
      <c r="B203" s="118"/>
      <c r="C203" s="122" t="s">
        <v>58</v>
      </c>
      <c r="D203" s="124">
        <f t="shared" si="34"/>
      </c>
      <c r="E203" s="86">
        <f>IF($AX$62="c",Tech!AY$62,"")</f>
      </c>
      <c r="F203" s="86">
        <f>IF($AX$62="c",Tech!AZ$62,"")</f>
      </c>
      <c r="G203" s="86">
        <f>IF(AND(G$14&lt;&gt;"",$AX$62="c"),Tech!BA$62,"")</f>
      </c>
      <c r="H203" s="86">
        <f>IF(AND(H$14&lt;&gt;"",$AX$62="c"),Tech!BB$62,"")</f>
      </c>
      <c r="I203" s="86">
        <f>IF(AND(I$14&lt;&gt;"",$AX$62="c"),Tech!BC$62,"")</f>
      </c>
      <c r="J203" s="86">
        <f>IF(AND(J$14&lt;&gt;"",$AX$62="c"),Tech!BD$62,"")</f>
      </c>
      <c r="K203" s="86">
        <f>IF(AND(K$14&lt;&gt;"",$AX$62="c"),Tech!BE$62,"")</f>
      </c>
      <c r="L203" s="86">
        <f>IF(AND(L$14&lt;&gt;"",$AX$62="c"),Tech!BF$62,"")</f>
      </c>
      <c r="M203" s="86">
        <f>IF(AND(M$14&lt;&gt;"",$AX$62="c"),Tech!BG$62,"")</f>
      </c>
      <c r="N203" s="86">
        <f>IF(AND(N$14&lt;&gt;"",$AX$62="c"),Tech!BH$62,"")</f>
      </c>
    </row>
    <row r="204" spans="2:14" ht="12.75">
      <c r="B204" s="118" t="str">
        <f>AS63</f>
        <v>---</v>
      </c>
      <c r="C204" s="119" t="s">
        <v>55</v>
      </c>
      <c r="D204" s="124">
        <f t="shared" si="34"/>
      </c>
      <c r="E204" s="86">
        <f>IF($AX$63="b",Tech!O$63,"")</f>
      </c>
      <c r="F204" s="86">
        <f>IF($AX$63="b",Tech!P$63,"")</f>
      </c>
      <c r="G204" s="86">
        <f>IF(AND(G$14&lt;&gt;"",$AX$63="b"),Tech!Q$63,"")</f>
      </c>
      <c r="H204" s="86">
        <f>IF(AND(H$14&lt;&gt;"",$AX$63="b"),Tech!R$63,"")</f>
      </c>
      <c r="I204" s="86">
        <f>IF(AND(I$14&lt;&gt;"",$AX$63="b"),Tech!S$63,"")</f>
      </c>
      <c r="J204" s="86">
        <f>IF(AND(J$14&lt;&gt;"",$AX$63="b"),Tech!T$63,"")</f>
      </c>
      <c r="K204" s="86">
        <f>IF(AND(K$14&lt;&gt;"",$AX$63="b"),Tech!U$63,"")</f>
      </c>
      <c r="L204" s="86">
        <f>IF(AND(L$14&lt;&gt;"",$AX$63="b"),Tech!V$63,"")</f>
      </c>
      <c r="M204" s="86">
        <f>IF(AND(M$14&lt;&gt;"",$AX$63="b"),Tech!W$63,"")</f>
      </c>
      <c r="N204" s="86">
        <f>IF(AND(N$14&lt;&gt;"",$AX$63="b"),Tech!X$63,"")</f>
      </c>
    </row>
    <row r="205" spans="2:14" ht="12.75">
      <c r="B205" s="118"/>
      <c r="C205" s="122" t="s">
        <v>56</v>
      </c>
      <c r="D205" s="124">
        <f t="shared" si="34"/>
      </c>
      <c r="E205" s="86">
        <f>IF($AX$63="c",Tech!AA$63,"")</f>
      </c>
      <c r="F205" s="86">
        <f>IF($AX$63="c",Tech!AB$63,"")</f>
      </c>
      <c r="G205" s="86">
        <f>IF(AND(G$14&lt;&gt;"",$AX$63="c"),Tech!AC$63,"")</f>
      </c>
      <c r="H205" s="86">
        <f>IF(AND(H$14&lt;&gt;"",$AX$63="c"),Tech!AD$63,"")</f>
      </c>
      <c r="I205" s="86">
        <f>IF(AND(I$14&lt;&gt;"",$AX$63="c"),Tech!AE$63,"")</f>
      </c>
      <c r="J205" s="86">
        <f>IF(AND(J$14&lt;&gt;"",$AX$63="c"),Tech!AF$63,"")</f>
      </c>
      <c r="K205" s="86">
        <f>IF(AND(K$14&lt;&gt;"",$AX$63="c"),Tech!AG$63,"")</f>
      </c>
      <c r="L205" s="86">
        <f>IF(AND(L$14&lt;&gt;"",$AX$63="c"),Tech!AH$63,"")</f>
      </c>
      <c r="M205" s="86">
        <f>IF(AND(M$14&lt;&gt;"",$AX$63="c"),Tech!AI$63,"")</f>
      </c>
      <c r="N205" s="86">
        <f>IF(AND(N$14&lt;&gt;"",$AX$63="c"),Tech!AJ$63,"")</f>
      </c>
    </row>
    <row r="206" spans="3:14" ht="12.75">
      <c r="C206" s="122" t="s">
        <v>57</v>
      </c>
      <c r="D206" s="124">
        <f t="shared" si="34"/>
      </c>
      <c r="E206" s="86">
        <f>IF($AX$63="c",Tech!AM$63,"")</f>
      </c>
      <c r="F206" s="86">
        <f>IF($AX$63="c",Tech!AN$63,"")</f>
      </c>
      <c r="G206" s="86">
        <f>IF(AND(G$14&lt;&gt;"",$AX$63="c"),Tech!AO$63,"")</f>
      </c>
      <c r="H206" s="86">
        <f>IF(AND(H$14&lt;&gt;"",$AX$63="c"),Tech!AP$63,"")</f>
      </c>
      <c r="I206" s="86">
        <f>IF(AND(I$14&lt;&gt;"",$AX$63="c"),Tech!AQ$63,"")</f>
      </c>
      <c r="J206" s="86">
        <f>IF(AND(J$14&lt;&gt;"",$AX$63="c"),Tech!AR$63,"")</f>
      </c>
      <c r="K206" s="86">
        <f>IF(AND(K$14&lt;&gt;"",$AX$63="c"),Tech!AS$63,"")</f>
      </c>
      <c r="L206" s="86">
        <f>IF(AND(L$14&lt;&gt;"",$AX$63="c"),Tech!AT$63,"")</f>
      </c>
      <c r="M206" s="86">
        <f>IF(AND(M$14&lt;&gt;"",$AX$63="c"),Tech!AU$63,"")</f>
      </c>
      <c r="N206" s="86">
        <f>IF(AND(N$14&lt;&gt;"",$AX$63="c"),Tech!AV$63,"")</f>
      </c>
    </row>
    <row r="207" spans="2:14" ht="12.75">
      <c r="B207" s="118"/>
      <c r="C207" s="122" t="s">
        <v>58</v>
      </c>
      <c r="D207" s="124">
        <f t="shared" si="34"/>
      </c>
      <c r="E207" s="86">
        <f>IF($AX$63="c",Tech!AY$63,"")</f>
      </c>
      <c r="F207" s="86">
        <f>IF($AX$63="c",Tech!AZ$63,"")</f>
      </c>
      <c r="G207" s="86">
        <f>IF(AND(G$14&lt;&gt;"",$AX$63="c"),Tech!BA$63,"")</f>
      </c>
      <c r="H207" s="86">
        <f>IF(AND(H$14&lt;&gt;"",$AX$63="c"),Tech!BB$63,"")</f>
      </c>
      <c r="I207" s="86">
        <f>IF(AND(I$14&lt;&gt;"",$AX$63="c"),Tech!BC$63,"")</f>
      </c>
      <c r="J207" s="86">
        <f>IF(AND(J$14&lt;&gt;"",$AX$63="c"),Tech!BD$63,"")</f>
      </c>
      <c r="K207" s="86">
        <f>IF(AND(K$14&lt;&gt;"",$AX$63="c"),Tech!BE$63,"")</f>
      </c>
      <c r="L207" s="86">
        <f>IF(AND(L$14&lt;&gt;"",$AX$63="c"),Tech!BF$63,"")</f>
      </c>
      <c r="M207" s="86">
        <f>IF(AND(M$14&lt;&gt;"",$AX$63="c"),Tech!BG$63,"")</f>
      </c>
      <c r="N207" s="86">
        <f>IF(AND(N$14&lt;&gt;"",$AX$63="c"),Tech!BH$63,"")</f>
      </c>
    </row>
    <row r="208" spans="2:14" ht="12.75">
      <c r="B208" s="118" t="str">
        <f>AS64</f>
        <v>---</v>
      </c>
      <c r="C208" s="119" t="s">
        <v>55</v>
      </c>
      <c r="D208" s="124">
        <f t="shared" si="34"/>
      </c>
      <c r="E208" s="86">
        <f>IF($AX$64="b",Tech!O$64,"")</f>
      </c>
      <c r="F208" s="86">
        <f>IF($AX$64="b",Tech!P$64,"")</f>
      </c>
      <c r="G208" s="86">
        <f>IF(AND(G$14&lt;&gt;"",$AX$64="b"),Tech!Q$64,"")</f>
      </c>
      <c r="H208" s="86">
        <f>IF(AND(H$14&lt;&gt;"",$AX$64="b"),Tech!R$64,"")</f>
      </c>
      <c r="I208" s="86">
        <f>IF(AND(I$14&lt;&gt;"",$AX$64="b"),Tech!S$64,"")</f>
      </c>
      <c r="J208" s="86">
        <f>IF(AND(J$14&lt;&gt;"",$AX$64="b"),Tech!T$64,"")</f>
      </c>
      <c r="K208" s="86">
        <f>IF(AND(K$14&lt;&gt;"",$AX$64="b"),Tech!U$64,"")</f>
      </c>
      <c r="L208" s="86">
        <f>IF(AND(L$14&lt;&gt;"",$AX$64="b"),Tech!V$64,"")</f>
      </c>
      <c r="M208" s="86">
        <f>IF(AND(M$14&lt;&gt;"",$AX$64="b"),Tech!W$64,"")</f>
      </c>
      <c r="N208" s="86">
        <f>IF(AND(N$14&lt;&gt;"",$AX$64="b"),Tech!X$64,"")</f>
      </c>
    </row>
    <row r="209" spans="2:14" ht="12.75">
      <c r="B209" s="118"/>
      <c r="C209" s="122" t="s">
        <v>56</v>
      </c>
      <c r="D209" s="124">
        <f t="shared" si="34"/>
      </c>
      <c r="E209" s="86">
        <f>IF($AX$64="c",Tech!AA$64,"")</f>
      </c>
      <c r="F209" s="86">
        <f>IF($AX$64="c",Tech!AB$64,"")</f>
      </c>
      <c r="G209" s="86">
        <f>IF(AND(G$14&lt;&gt;"",$AX$64="c"),Tech!AC$64,"")</f>
      </c>
      <c r="H209" s="86">
        <f>IF(AND(H$14&lt;&gt;"",$AX$64="c"),Tech!AD$64,"")</f>
      </c>
      <c r="I209" s="86">
        <f>IF(AND(I$14&lt;&gt;"",$AX$64="c"),Tech!AE$64,"")</f>
      </c>
      <c r="J209" s="86">
        <f>IF(AND(J$14&lt;&gt;"",$AX$64="c"),Tech!AF$64,"")</f>
      </c>
      <c r="K209" s="86">
        <f>IF(AND(K$14&lt;&gt;"",$AX$64="c"),Tech!AG$64,"")</f>
      </c>
      <c r="L209" s="86">
        <f>IF(AND(L$14&lt;&gt;"",$AX$64="c"),Tech!AH$64,"")</f>
      </c>
      <c r="M209" s="86">
        <f>IF(AND(M$14&lt;&gt;"",$AX$64="c"),Tech!AI$64,"")</f>
      </c>
      <c r="N209" s="86">
        <f>IF(AND(N$14&lt;&gt;"",$AX$64="c"),Tech!AJ$64,"")</f>
      </c>
    </row>
    <row r="210" spans="2:14" ht="12.75">
      <c r="B210" s="118"/>
      <c r="C210" s="122" t="s">
        <v>57</v>
      </c>
      <c r="D210" s="124">
        <f t="shared" si="34"/>
      </c>
      <c r="E210" s="86">
        <f>IF($AX$64="c",Tech!AM$64,"")</f>
      </c>
      <c r="F210" s="86">
        <f>IF($AX$64="c",Tech!AN$64,"")</f>
      </c>
      <c r="G210" s="86">
        <f>IF(AND(G$14&lt;&gt;"",$AX$64="c"),Tech!AO$64,"")</f>
      </c>
      <c r="H210" s="86">
        <f>IF(AND(H$14&lt;&gt;"",$AX$64="c"),Tech!AP$64,"")</f>
      </c>
      <c r="I210" s="86">
        <f>IF(AND(I$14&lt;&gt;"",$AX$64="c"),Tech!AQ$64,"")</f>
      </c>
      <c r="J210" s="86">
        <f>IF(AND(J$14&lt;&gt;"",$AX$64="c"),Tech!AR$64,"")</f>
      </c>
      <c r="K210" s="86">
        <f>IF(AND(K$14&lt;&gt;"",$AX$64="c"),Tech!AS$64,"")</f>
      </c>
      <c r="L210" s="86">
        <f>IF(AND(L$14&lt;&gt;"",$AX$64="c"),Tech!AT$64,"")</f>
      </c>
      <c r="M210" s="86">
        <f>IF(AND(M$14&lt;&gt;"",$AX$64="c"),Tech!AU$64,"")</f>
      </c>
      <c r="N210" s="86">
        <f>IF(AND(N$14&lt;&gt;"",$AX$64="c"),Tech!AV$64,"")</f>
      </c>
    </row>
    <row r="211" spans="3:14" ht="12.75">
      <c r="C211" s="122" t="s">
        <v>58</v>
      </c>
      <c r="D211" s="124">
        <f t="shared" si="34"/>
      </c>
      <c r="E211" s="86">
        <f>IF($AX$64="c",Tech!AY$64,"")</f>
      </c>
      <c r="F211" s="86">
        <f>IF($AX$64="c",Tech!AZ$64,"")</f>
      </c>
      <c r="G211" s="86">
        <f>IF(AND(G$14&lt;&gt;"",$AX$64="c"),Tech!BA$64,"")</f>
      </c>
      <c r="H211" s="86">
        <f>IF(AND(H$14&lt;&gt;"",$AX$64="c"),Tech!BB$64,"")</f>
      </c>
      <c r="I211" s="86">
        <f>IF(AND(I$14&lt;&gt;"",$AX$64="c"),Tech!BC$64,"")</f>
      </c>
      <c r="J211" s="86">
        <f>IF(AND(J$14&lt;&gt;"",$AX$64="c"),Tech!BD$64,"")</f>
      </c>
      <c r="K211" s="86">
        <f>IF(AND(K$14&lt;&gt;"",$AX$64="c"),Tech!BE$64,"")</f>
      </c>
      <c r="L211" s="86">
        <f>IF(AND(L$14&lt;&gt;"",$AX$64="c"),Tech!BF$64,"")</f>
      </c>
      <c r="M211" s="86">
        <f>IF(AND(M$14&lt;&gt;"",$AX$64="c"),Tech!BG$64,"")</f>
      </c>
      <c r="N211" s="86">
        <f>IF(AND(N$14&lt;&gt;"",$AX$64="c"),Tech!BH$64,"")</f>
      </c>
    </row>
    <row r="212" spans="2:14" ht="12.75">
      <c r="B212" s="118" t="str">
        <f>AS65</f>
        <v>---</v>
      </c>
      <c r="C212" s="119" t="s">
        <v>55</v>
      </c>
      <c r="D212" s="124">
        <f t="shared" si="34"/>
      </c>
      <c r="E212" s="86">
        <f>IF($AX$65="b",Tech!O$65,"")</f>
      </c>
      <c r="F212" s="86">
        <f>IF($AX$65="b",Tech!P$65,"")</f>
      </c>
      <c r="G212" s="86">
        <f>IF(AND(G$14&lt;&gt;"",$AX$65="b"),Tech!Q$65,"")</f>
      </c>
      <c r="H212" s="86">
        <f>IF(AND(H$14&lt;&gt;"",$AX$65="b"),Tech!R$65,"")</f>
      </c>
      <c r="I212" s="86">
        <f>IF(AND(I$14&lt;&gt;"",$AX$65="b"),Tech!S$65,"")</f>
      </c>
      <c r="J212" s="86">
        <f>IF(AND(J$14&lt;&gt;"",$AX$65="b"),Tech!T$65,"")</f>
      </c>
      <c r="K212" s="86">
        <f>IF(AND(K$14&lt;&gt;"",$AX$65="b"),Tech!U$65,"")</f>
      </c>
      <c r="L212" s="86">
        <f>IF(AND(L$14&lt;&gt;"",$AX$65="b"),Tech!V$65,"")</f>
      </c>
      <c r="M212" s="86">
        <f>IF(AND(M$14&lt;&gt;"",$AX$65="b"),Tech!W$65,"")</f>
      </c>
      <c r="N212" s="86">
        <f>IF(AND(N$14&lt;&gt;"",$AX$65="b"),Tech!X$65,"")</f>
      </c>
    </row>
    <row r="213" spans="2:14" ht="12.75">
      <c r="B213" s="118"/>
      <c r="C213" s="122" t="s">
        <v>56</v>
      </c>
      <c r="D213" s="124">
        <f t="shared" si="34"/>
      </c>
      <c r="E213" s="86">
        <f>IF($AX$65="c",Tech!AA$65,"")</f>
      </c>
      <c r="F213" s="86">
        <f>IF($AX$65="c",Tech!AB$65,"")</f>
      </c>
      <c r="G213" s="86">
        <f>IF(AND(G$14&lt;&gt;"",$AX$65="c"),Tech!AC$65,"")</f>
      </c>
      <c r="H213" s="86">
        <f>IF(AND(H$14&lt;&gt;"",$AX$65="c"),Tech!AD$65,"")</f>
      </c>
      <c r="I213" s="86">
        <f>IF(AND(I$14&lt;&gt;"",$AX$65="c"),Tech!AE$65,"")</f>
      </c>
      <c r="J213" s="86">
        <f>IF(AND(J$14&lt;&gt;"",$AX$65="c"),Tech!AF$65,"")</f>
      </c>
      <c r="K213" s="86">
        <f>IF(AND(K$14&lt;&gt;"",$AX$65="c"),Tech!AG$65,"")</f>
      </c>
      <c r="L213" s="86">
        <f>IF(AND(L$14&lt;&gt;"",$AX$65="c"),Tech!AH$65,"")</f>
      </c>
      <c r="M213" s="86">
        <f>IF(AND(M$14&lt;&gt;"",$AX$65="c"),Tech!AI$65,"")</f>
      </c>
      <c r="N213" s="86">
        <f>IF(AND(N$14&lt;&gt;"",$AX$65="c"),Tech!AJ$65,"")</f>
      </c>
    </row>
    <row r="214" spans="2:14" ht="12.75">
      <c r="B214" s="118"/>
      <c r="C214" s="122" t="s">
        <v>57</v>
      </c>
      <c r="D214" s="124">
        <f t="shared" si="34"/>
      </c>
      <c r="E214" s="86">
        <f>IF($AX$65="c",Tech!AM$65,"")</f>
      </c>
      <c r="F214" s="86">
        <f>IF($AX$65="c",Tech!AN$65,"")</f>
      </c>
      <c r="G214" s="86">
        <f>IF(AND(G$14&lt;&gt;"",$AX$65="c"),Tech!AO$65,"")</f>
      </c>
      <c r="H214" s="86">
        <f>IF(AND(H$14&lt;&gt;"",$AX$65="c"),Tech!AP$65,"")</f>
      </c>
      <c r="I214" s="86">
        <f>IF(AND(I$14&lt;&gt;"",$AX$65="c"),Tech!AQ$65,"")</f>
      </c>
      <c r="J214" s="86">
        <f>IF(AND(J$14&lt;&gt;"",$AX$65="c"),Tech!AR$65,"")</f>
      </c>
      <c r="K214" s="86">
        <f>IF(AND(K$14&lt;&gt;"",$AX$65="c"),Tech!AS$65,"")</f>
      </c>
      <c r="L214" s="86">
        <f>IF(AND(L$14&lt;&gt;"",$AX$65="c"),Tech!AT$65,"")</f>
      </c>
      <c r="M214" s="86">
        <f>IF(AND(M$14&lt;&gt;"",$AX$65="c"),Tech!AU$65,"")</f>
      </c>
      <c r="N214" s="86">
        <f>IF(AND(N$14&lt;&gt;"",$AX$65="c"),Tech!AV$65,"")</f>
      </c>
    </row>
    <row r="215" spans="2:14" ht="12.75">
      <c r="B215" s="126"/>
      <c r="C215" s="127" t="s">
        <v>58</v>
      </c>
      <c r="D215" s="128">
        <f t="shared" si="34"/>
      </c>
      <c r="E215" s="129">
        <f>IF($AX$65="c",Tech!AY$65,"")</f>
      </c>
      <c r="F215" s="129">
        <f>IF($AX$65="c",Tech!AZ$65,"")</f>
      </c>
      <c r="G215" s="129">
        <f>IF(AND(G$14&lt;&gt;"",$AX$65="c"),Tech!BA$65,"")</f>
      </c>
      <c r="H215" s="129">
        <f>IF(AND(H$14&lt;&gt;"",$AX$65="c"),Tech!BB$65,"")</f>
      </c>
      <c r="I215" s="129">
        <f>IF(AND(I$14&lt;&gt;"",$AX$65="c"),Tech!BC$65,"")</f>
      </c>
      <c r="J215" s="129">
        <f>IF(AND(J$14&lt;&gt;"",$AX$65="c"),Tech!BD$65,"")</f>
      </c>
      <c r="K215" s="129">
        <f>IF(AND(K$14&lt;&gt;"",$AX$65="c"),Tech!BE$65,"")</f>
      </c>
      <c r="L215" s="129">
        <f>IF(AND(L$14&lt;&gt;"",$AX$65="c"),Tech!BF$65,"")</f>
      </c>
      <c r="M215" s="129">
        <f>IF(AND(M$14&lt;&gt;"",$AX$65="c"),Tech!BG$65,"")</f>
      </c>
      <c r="N215" s="129">
        <f>IF(AND(N$14&lt;&gt;"",$AX$65="c"),Tech!BH$65,"")</f>
      </c>
    </row>
    <row r="216" ht="12.75">
      <c r="C216" s="119"/>
    </row>
  </sheetData>
  <sheetProtection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H92"/>
  <sheetViews>
    <sheetView workbookViewId="0" topLeftCell="A1">
      <selection activeCell="A1" sqref="A1"/>
    </sheetView>
  </sheetViews>
  <sheetFormatPr defaultColWidth="8.8515625" defaultRowHeight="12.75"/>
  <cols>
    <col min="13" max="13" width="3.7109375" style="0" customWidth="1"/>
    <col min="25" max="25" width="3.28125" style="0" customWidth="1"/>
    <col min="37" max="37" width="2.8515625" style="0" customWidth="1"/>
  </cols>
  <sheetData>
    <row r="1" spans="1:12" ht="12.75">
      <c r="A1" s="16" t="s">
        <v>16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2" t="s">
        <v>20</v>
      </c>
      <c r="C2" s="1"/>
      <c r="D2" s="1"/>
      <c r="E2" s="1"/>
      <c r="F2" s="1"/>
      <c r="G2" s="13" t="s">
        <v>50</v>
      </c>
      <c r="H2" s="23"/>
      <c r="I2" s="1"/>
      <c r="J2" s="1"/>
      <c r="K2" s="1"/>
      <c r="L2" s="1"/>
    </row>
    <row r="3" spans="1:12" ht="12.75">
      <c r="A3" s="2"/>
      <c r="B3" s="3" t="s">
        <v>28</v>
      </c>
      <c r="C3" s="2">
        <f>COUNT(Input!L$15:U$15)</f>
        <v>3</v>
      </c>
      <c r="D3" s="1"/>
      <c r="E3" s="1"/>
      <c r="F3" s="3"/>
      <c r="G3" s="2"/>
      <c r="H3" s="11"/>
      <c r="I3" s="17"/>
      <c r="J3" s="17"/>
      <c r="K3" s="17"/>
      <c r="L3" s="17"/>
    </row>
    <row r="4" spans="1:12" ht="12.75">
      <c r="A4" s="2"/>
      <c r="B4" s="3" t="s">
        <v>29</v>
      </c>
      <c r="C4" s="2">
        <f>MATCH(vtoc1,RHV,0)+15</f>
        <v>16</v>
      </c>
      <c r="D4" s="3" t="s">
        <v>39</v>
      </c>
      <c r="E4" s="2">
        <f ca="1">INDIRECT(ADDRESS(Chorder1,9,1,,"Input"))</f>
        <v>0.4</v>
      </c>
      <c r="F4" s="3"/>
      <c r="G4" s="1" t="s">
        <v>51</v>
      </c>
      <c r="H4" s="2">
        <f>MATCH(VtoP,RHV,0)+15</f>
        <v>19</v>
      </c>
      <c r="I4" s="1"/>
      <c r="J4" s="1"/>
      <c r="K4" s="1"/>
      <c r="L4" s="1"/>
    </row>
    <row r="5" spans="1:12" ht="12.75">
      <c r="A5" s="2"/>
      <c r="B5" s="15" t="s">
        <v>30</v>
      </c>
      <c r="C5" s="2">
        <f>MATCH(vtoc2,RHV,0)+15</f>
        <v>18</v>
      </c>
      <c r="D5" s="3" t="s">
        <v>40</v>
      </c>
      <c r="E5" s="2">
        <f ca="1">INDIRECT(ADDRESS(Chorder2,9,1,,"Input"))</f>
        <v>0.88</v>
      </c>
      <c r="F5" s="3"/>
      <c r="G5" s="1" t="s">
        <v>94</v>
      </c>
      <c r="H5" s="1">
        <f>(EndV-StartV)/(NmP-1)</f>
        <v>6.666666666666667</v>
      </c>
      <c r="I5" s="1"/>
      <c r="J5" s="1"/>
      <c r="K5" s="1"/>
      <c r="L5" s="1"/>
    </row>
    <row r="6" spans="1:12" ht="12.75">
      <c r="A6" s="2"/>
      <c r="B6" s="3" t="s">
        <v>31</v>
      </c>
      <c r="C6" s="2">
        <f>MATCH(vtoc3,RHV,0)+15</f>
        <v>19</v>
      </c>
      <c r="D6" s="3" t="s">
        <v>41</v>
      </c>
      <c r="E6" s="2">
        <f ca="1">INDIRECT(ADDRESS(Chorder3,9,1,,"Input"))</f>
        <v>44.94</v>
      </c>
      <c r="F6" s="3"/>
      <c r="G6" s="1" t="s">
        <v>52</v>
      </c>
      <c r="H6" s="2">
        <f ca="1">INDIRECT(ADDRESS(Porder,9,1,,"Input"))</f>
        <v>44.94</v>
      </c>
      <c r="I6" s="1"/>
      <c r="J6" s="1"/>
      <c r="K6" s="1"/>
      <c r="L6" s="1"/>
    </row>
    <row r="7" spans="1:12" ht="12.75">
      <c r="A7" s="2"/>
      <c r="B7" s="1"/>
      <c r="C7" s="1"/>
      <c r="D7" s="1"/>
      <c r="E7" s="1"/>
      <c r="F7" s="3"/>
      <c r="G7" s="1"/>
      <c r="H7" s="1"/>
      <c r="I7" s="1"/>
      <c r="J7" s="1"/>
      <c r="K7" s="1"/>
      <c r="L7" s="1"/>
    </row>
    <row r="8" spans="1:12" ht="12.75">
      <c r="A8" s="2"/>
      <c r="B8" s="8" t="s">
        <v>26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8">
        <v>7</v>
      </c>
      <c r="J8" s="8">
        <v>8</v>
      </c>
      <c r="K8" s="8">
        <v>9</v>
      </c>
      <c r="L8" s="8">
        <v>10</v>
      </c>
    </row>
    <row r="9" spans="1:12" ht="12.75">
      <c r="A9" s="2"/>
      <c r="B9" s="3"/>
      <c r="C9" s="11" t="s">
        <v>3</v>
      </c>
      <c r="D9" s="3"/>
      <c r="E9" s="3"/>
      <c r="F9" s="1"/>
      <c r="G9" s="3"/>
      <c r="H9" s="1"/>
      <c r="I9" s="1"/>
      <c r="J9" s="1"/>
      <c r="K9" s="1"/>
      <c r="L9" s="1"/>
    </row>
    <row r="10" spans="1:12" ht="12.75">
      <c r="A10" s="2"/>
      <c r="B10" s="2" t="s">
        <v>27</v>
      </c>
      <c r="C10" s="4">
        <f>con1</f>
        <v>1.856951</v>
      </c>
      <c r="D10" s="4">
        <f>IF(con2="","",con2)</f>
        <v>0.7198119</v>
      </c>
      <c r="E10" s="4">
        <f>IF(con3="","",con3)</f>
        <v>-1.002225</v>
      </c>
      <c r="F10" s="4">
        <f>IF(con4="","",con4)</f>
      </c>
      <c r="G10" s="4">
        <f>IF(con5="","",con5)</f>
      </c>
      <c r="H10" s="4">
        <f>IF(con6="","",con6)</f>
      </c>
      <c r="I10" s="4">
        <f>IF(con7="","",con7)</f>
      </c>
      <c r="J10" s="4">
        <f>IF(con8="","",con8)</f>
      </c>
      <c r="K10" s="4">
        <f>IF(con9="","",con9)</f>
      </c>
      <c r="L10" s="4"/>
    </row>
    <row r="11" spans="1:12" ht="12.75">
      <c r="A11" s="3"/>
      <c r="B11" s="2" t="s">
        <v>43</v>
      </c>
      <c r="C11" s="14">
        <f>con1+SUMPRODUCT(e1b,Bval)</f>
        <v>2.09252968</v>
      </c>
      <c r="D11" s="14">
        <f>IF(con2="","",con2+SUMPRODUCT(e2b,Bval))</f>
        <v>0.23972421500000018</v>
      </c>
      <c r="E11" s="14">
        <f>IF(con3="","",con3+SUMPRODUCT(e3b,Bval))</f>
        <v>-1.6645737689999995</v>
      </c>
      <c r="F11" s="14">
        <f>IF(con4="","",con4+SUMPRODUCT(e4b,Bval))</f>
      </c>
      <c r="G11" s="14">
        <f>IF(con5="","",con5+SUMPRODUCT(e5b,Bval))</f>
      </c>
      <c r="H11" s="14">
        <f>IF(con6="","",con6+SUMPRODUCT(e6b,Bval))</f>
      </c>
      <c r="I11" s="14">
        <f>IF(con7="","",con7+SUMPRODUCT(e7b,Bval))</f>
      </c>
      <c r="J11" s="14">
        <f>IF(con8="","",con8+SUMPRODUCT(e8b,Bval))</f>
      </c>
      <c r="K11" s="14">
        <f>IF(con9="","",con9+SUMPRODUCT(e9b,Bval))</f>
      </c>
      <c r="L11" s="14"/>
    </row>
    <row r="12" spans="1:60" ht="12.75">
      <c r="A12" s="2"/>
      <c r="B12" s="2" t="s">
        <v>33</v>
      </c>
      <c r="C12" s="4">
        <f>cdf(C11)</f>
        <v>0.8901749801785689</v>
      </c>
      <c r="D12" s="4">
        <f>IF(D11="","",cdf(D11))</f>
        <v>0.559645685270449</v>
      </c>
      <c r="E12" s="4">
        <f aca="true" t="shared" si="0" ref="E12:K12">IF(E11="","",cdf(E11))</f>
        <v>0.1591489779079484</v>
      </c>
      <c r="F12" s="4">
        <f t="shared" si="0"/>
      </c>
      <c r="G12" s="4">
        <f t="shared" si="0"/>
      </c>
      <c r="H12" s="4">
        <f t="shared" si="0"/>
      </c>
      <c r="I12" s="4">
        <f t="shared" si="0"/>
      </c>
      <c r="J12" s="4">
        <f t="shared" si="0"/>
      </c>
      <c r="K12" s="4">
        <f t="shared" si="0"/>
      </c>
      <c r="L12" s="4"/>
      <c r="N12" s="2" t="s">
        <v>26</v>
      </c>
      <c r="O12" s="2">
        <v>1</v>
      </c>
      <c r="P12" s="2">
        <v>2</v>
      </c>
      <c r="Q12" s="2">
        <v>3</v>
      </c>
      <c r="R12" s="2">
        <v>4</v>
      </c>
      <c r="S12" s="2">
        <v>5</v>
      </c>
      <c r="T12" s="2">
        <v>6</v>
      </c>
      <c r="U12" s="2">
        <v>7</v>
      </c>
      <c r="V12" s="2">
        <v>8</v>
      </c>
      <c r="W12" s="2">
        <v>9</v>
      </c>
      <c r="X12" s="2">
        <v>10</v>
      </c>
      <c r="Z12" s="2" t="s">
        <v>26</v>
      </c>
      <c r="AA12" s="2">
        <v>1</v>
      </c>
      <c r="AB12" s="2">
        <v>2</v>
      </c>
      <c r="AC12" s="2">
        <v>3</v>
      </c>
      <c r="AD12" s="2">
        <v>4</v>
      </c>
      <c r="AE12" s="2">
        <v>5</v>
      </c>
      <c r="AF12" s="2">
        <v>6</v>
      </c>
      <c r="AG12" s="2">
        <v>7</v>
      </c>
      <c r="AH12" s="2">
        <v>8</v>
      </c>
      <c r="AI12" s="2">
        <v>9</v>
      </c>
      <c r="AJ12" s="2">
        <v>10</v>
      </c>
      <c r="AL12" s="2" t="s">
        <v>26</v>
      </c>
      <c r="AM12" s="2">
        <v>1</v>
      </c>
      <c r="AN12" s="2">
        <v>2</v>
      </c>
      <c r="AO12" s="2">
        <v>3</v>
      </c>
      <c r="AP12" s="2">
        <v>4</v>
      </c>
      <c r="AQ12" s="2">
        <v>5</v>
      </c>
      <c r="AR12" s="2">
        <v>6</v>
      </c>
      <c r="AS12" s="2">
        <v>7</v>
      </c>
      <c r="AT12" s="2">
        <v>8</v>
      </c>
      <c r="AU12" s="2">
        <v>9</v>
      </c>
      <c r="AV12" s="2">
        <v>10</v>
      </c>
      <c r="AX12" s="2" t="s">
        <v>26</v>
      </c>
      <c r="AY12" s="2">
        <v>1</v>
      </c>
      <c r="AZ12" s="2">
        <v>2</v>
      </c>
      <c r="BA12" s="2">
        <v>3</v>
      </c>
      <c r="BB12" s="2">
        <v>4</v>
      </c>
      <c r="BC12" s="2">
        <v>5</v>
      </c>
      <c r="BD12" s="2">
        <v>6</v>
      </c>
      <c r="BE12" s="2">
        <v>7</v>
      </c>
      <c r="BF12" s="2">
        <v>8</v>
      </c>
      <c r="BG12" s="2">
        <v>9</v>
      </c>
      <c r="BH12" s="2">
        <v>10</v>
      </c>
    </row>
    <row r="13" spans="1:60" ht="12.75">
      <c r="A13" s="1"/>
      <c r="C13" s="13" t="s">
        <v>2</v>
      </c>
      <c r="D13" s="13"/>
      <c r="E13" s="13"/>
      <c r="F13" s="13"/>
      <c r="G13" s="13"/>
      <c r="H13" s="13"/>
      <c r="I13" s="13"/>
      <c r="J13" s="13"/>
      <c r="K13" s="13"/>
      <c r="L13" s="13"/>
      <c r="AV13" s="37"/>
      <c r="BH13" s="37"/>
    </row>
    <row r="14" spans="1:60" ht="12.75">
      <c r="A14" s="1"/>
      <c r="B14" s="2" t="s">
        <v>32</v>
      </c>
      <c r="C14" s="14">
        <f>C$10+SUMPRODUCT(Mn,e1b)</f>
        <v>2.09252968</v>
      </c>
      <c r="D14" s="14">
        <f>IF(D10="","",D10+SUMPRODUCT(Mn,e2b))</f>
        <v>0.23972421500000018</v>
      </c>
      <c r="E14" s="14">
        <f>IF(E10="","",E10+SUMPRODUCT(Mn,e3b))</f>
        <v>-1.6645737689999995</v>
      </c>
      <c r="F14" s="14">
        <f>IF(F10="","",F10+SUMPRODUCT(Mn,e4b))</f>
      </c>
      <c r="G14" s="14">
        <f>IF(G10="","",G10+SUMPRODUCT(Mn,e5b))</f>
      </c>
      <c r="H14" s="14">
        <f>IF(H10="","",H10+SUMPRODUCT(Mn,e6b))</f>
      </c>
      <c r="I14" s="14">
        <f>IF(I10="","",I10+SUMPRODUCT(Mn,e7b))</f>
      </c>
      <c r="J14" s="14">
        <f>IF(J10="","",J10+SUMPRODUCT(Mn,e8b))</f>
      </c>
      <c r="K14" s="14">
        <f>IF(K10="","",K10+SUMPRODUCT(Mn,e9b))</f>
      </c>
      <c r="L14" s="14"/>
      <c r="N14" s="1" t="s">
        <v>90</v>
      </c>
      <c r="Z14" s="1" t="s">
        <v>91</v>
      </c>
      <c r="AL14" s="1" t="s">
        <v>92</v>
      </c>
      <c r="AV14" s="37"/>
      <c r="AX14" s="1" t="s">
        <v>93</v>
      </c>
      <c r="BH14" s="37"/>
    </row>
    <row r="15" spans="1:60" ht="12.75">
      <c r="A15" s="1"/>
      <c r="B15" s="2" t="s">
        <v>33</v>
      </c>
      <c r="C15" s="4">
        <f>cdf(C14)</f>
        <v>0.8901749801785689</v>
      </c>
      <c r="D15" s="4">
        <f aca="true" t="shared" si="1" ref="D15:K15">IF(D14="","",cdf(D14))</f>
        <v>0.559645685270449</v>
      </c>
      <c r="E15" s="4">
        <f t="shared" si="1"/>
        <v>0.1591489779079484</v>
      </c>
      <c r="F15" s="4">
        <f t="shared" si="1"/>
      </c>
      <c r="G15" s="4">
        <f t="shared" si="1"/>
      </c>
      <c r="H15" s="4">
        <f t="shared" si="1"/>
      </c>
      <c r="I15" s="4">
        <f t="shared" si="1"/>
      </c>
      <c r="J15" s="4">
        <f t="shared" si="1"/>
      </c>
      <c r="K15" s="4">
        <f t="shared" si="1"/>
      </c>
      <c r="L15" s="4"/>
      <c r="AV15" s="37"/>
      <c r="BH15" s="37"/>
    </row>
    <row r="16" spans="1:60" ht="12.75">
      <c r="A16" s="1"/>
      <c r="C16" s="13" t="s">
        <v>17</v>
      </c>
      <c r="D16" s="13"/>
      <c r="E16" s="35"/>
      <c r="F16" s="35"/>
      <c r="G16" s="35"/>
      <c r="H16" s="35"/>
      <c r="I16" s="35"/>
      <c r="J16" s="35"/>
      <c r="K16" s="35"/>
      <c r="L16" s="35"/>
      <c r="O16" s="29">
        <f>-cdf(C11-(Bval-1)*e1b)+cdf(C11-Bval*e1b)</f>
        <v>-0.08812301279729318</v>
      </c>
      <c r="P16" s="29">
        <f>IF(con2="",fdelk(C11,+Bval,1,+e1b,0),delk(C11,+Bval,1,+e1b,D11,+e2b,0))</f>
        <v>-0.04239366207121953</v>
      </c>
      <c r="Q16" s="29">
        <f>IF(con2="","",IF(con3="",fdelk(D11,+Bval,1,+e2b,0),delk(D11,+Bval,1,+e2b,E11,+e3b,0)))</f>
        <v>0.08515054207134529</v>
      </c>
      <c r="R16" s="29">
        <f>IF(con3="","",IF(con4="",fdelk(E11,+Bval,1,+e3b,0),delk(E11,+Bval,1,+e3b,F11,+e4b,0)))</f>
        <v>0.04536613279716745</v>
      </c>
      <c r="S16" s="29">
        <f>IF(con4="","",IF(con5="",fdelk(F11,+Bval,1,+e4b,0),delk(F11,+Bval,1,+e4b,G11,+e5b,0)))</f>
      </c>
      <c r="T16" s="29">
        <f>IF(con5="","",IF(con6="",fdelk(G11,+Bval,1,+e5b,0),delk(G11,+Bval,1,+e5b,H11,+e6b,0)))</f>
      </c>
      <c r="U16" s="29">
        <f>IF(con6="","",IF(con7="",fdelk(H11,+Bval,1,+e6b,0),delk(H11,+Bval,1,+e6b,I11,+e7b,0)))</f>
      </c>
      <c r="V16" s="29">
        <f>IF(con7="","",IF(con8="",fdelk(I11,+Bval,1,+e7b,0),delk(I11,+Bval,1,+e7b,J11,+e8b,0)))</f>
      </c>
      <c r="W16" s="29">
        <f>IF(con8="","",IF(con9="",fdelk(J11,+Bval,1,+e8b,0),delk(J11,+Bval,1,+e8b,K11,+e9b,0)))</f>
      </c>
      <c r="X16" s="29">
        <f>IF(con9="","",fdelk(K11,+Bval,1,+e9b,0))</f>
      </c>
      <c r="AA16" s="29">
        <f>-cdf($C11-(Bval-Max)*e1b)+cdf($C11-(Bval-Min)*e1b)</f>
        <v>-0.08812301279729318</v>
      </c>
      <c r="AB16" s="29">
        <f>IF(con2="",fdelk($C11,+Bval,+Max,+e1b,+Min),delk($C11,+Bval,1,+e1b,$D11,+e2b,+Min))</f>
        <v>-0.04239366207121953</v>
      </c>
      <c r="AC16" s="29">
        <f>IF(con2="","",IF(con3="",fdelk($D11,+Bval,+Max,+e2b,+Min),delk($D11,+Bval,+Max,+e2b,$E11,+e3b,+Min)))</f>
        <v>0.08515054207134529</v>
      </c>
      <c r="AD16" s="29">
        <f>IF(con3="","",IF(con4="",fdelk($E11,+Bval,+Max,+e3b,+Min),delk($E11,+Bval,+Max,+e3b,$F11,+e4b,+Min)))</f>
        <v>0.04536613279716745</v>
      </c>
      <c r="AE16" s="29">
        <f>IF(con4="","",IF(con5="",fdelk($F11,+Bval,+Max,+e4b,+Min),delk($F11,+Bval,+Max,+e4b,$G11,+e5b,+Min)))</f>
      </c>
      <c r="AF16" s="29">
        <f>IF(con5="","",IF(con6="",fdelk($G11,+Bval,+Max,+e5b,+Min),delk($G11,+Bval,+Max,+e5b,$H11,+e6b,+Min)))</f>
      </c>
      <c r="AG16" s="29">
        <f>IF(con6="","",IF(con7="",fdelk($H11,+Bval,+Max,+e6b,+Min),delk($H11,+Bval,+Max,+e6b,$I11,+e7b,+Min)))</f>
      </c>
      <c r="AH16" s="29">
        <f>IF(con7="","",IF(con8="",fdelk($I11,+Bval,+Max,+e7b,+Min),delk($I11,+Bval,+Max,+e7b,$J11,+e8b,+Min)))</f>
      </c>
      <c r="AI16" s="29">
        <f>IF(con8="","",IF(con9="",fdelk($J11,+Bval,+Max,+e8b,+Min),delk($J11,+Bval,+Max,+e8b,$K11,+e9b,+Min)))</f>
      </c>
      <c r="AJ16" s="29">
        <f>IF(con9="","",fdelk($K11,+Bval,+Max,+e9b,+Min))</f>
      </c>
      <c r="AM16" s="30">
        <f>-cdf($C11-(Bval-Mn-0.5)*e1b)+cdf($C11-(Bval-Mn+0.5)*e1b)</f>
        <v>-0.09487579131021007</v>
      </c>
      <c r="AN16" s="30">
        <f>IF(con2="",fdelk($C11,+Bval,+Mn+0.5,+e1b,+Mn-0.5),delk($C11,+Bval,1,+e1b,$D11,+e2b,+Mn-0.5))</f>
        <v>-0.04299266946945407</v>
      </c>
      <c r="AO16" s="30">
        <f>IF(con2="","",IF(con3="",fdelk($D11,+Bval,+Mn+0.5,+e2b,+Mn-0.5),delk($D11,+Bval,+Mn+0.5,+e2b,$E11,+e3b,+Mn-0.5)))</f>
        <v>0.08706757583439007</v>
      </c>
      <c r="AP16" s="30">
        <f>IF(con3="","",IF(con4="",fdelk($E11,+Bval,+Mn+0.5,+e3b,+Mn-0.5),delk($E11,+Bval,+Mn+0.5,+e3b,$F11,+e4b,+Mn-0.5)))</f>
        <v>0.04436352764892107</v>
      </c>
      <c r="AQ16" s="30">
        <f>IF(con4="","",IF(con5="",fdelk($F11,+Bval,+Mn+0.5,+e4b,+Mn-0.5),delk($F11,+Bval,+Mn+0.5,+e4b,$G11,+e5b,+Mn-0.5)))</f>
      </c>
      <c r="AR16" s="30">
        <f>IF(con5="","",IF(con6="",fdelk($G11,+Bval,+Mn+0.5,+e5b,+Mn-0.5),delk($G11,+Bval,+Mn+0.5,+e5b,$H11,+e6b,+Mn-0.5)))</f>
      </c>
      <c r="AS16" s="30">
        <f>IF(con6="","",IF(con7="",fdelk($H11,+Bval,+Mn+0.5,+e6b,+Mn-0.5),delk($H11,+Bval,+Mn+0.5,+e6b,$I11,+e7b,+Mn-0.5)))</f>
      </c>
      <c r="AT16" s="30">
        <f>IF(con7="","",IF(con8="",fdelk($I11,+Bval,+Mn+0.5,+e7b,+Mn-0.5),delk($I11,+Bval,+Mn+0.5,+e7b,$J11,+e8b,+Mn-0.5)))</f>
      </c>
      <c r="AU16" s="30">
        <f>IF(con8="","",IF(con9="",fdelk($J11,+Bval,+Mn+0.5,+e8b,+Mn-0.5),delk($J11,+Bval,+Mn+0.5,+e8b,$K11,+e9b,+Mn-0.5)))</f>
      </c>
      <c r="AV16" s="38">
        <f>IF(con9="","",fdelk($K11,+Bval,+Mn+0.5,+e9b,+Mn-0.5))</f>
      </c>
      <c r="AW16" s="32">
        <f>IF(RHV="","",Mn-0.5*SD)</f>
        <v>0.15500000000000003</v>
      </c>
      <c r="AX16" s="32">
        <f>IF(RHV="","",Mn+0.5*SD)</f>
        <v>0.645</v>
      </c>
      <c r="AY16" s="30">
        <f>-cdf($C11-(Bval-Mn-0.5*SD)*e1b)+cdf($C11-(Bval-Mn+0.5*SD)*e1b)</f>
        <v>-0.045956421844147055</v>
      </c>
      <c r="AZ16" s="30">
        <f>IF(RHV="","",IF(con2="",fdelk($C$11,Bval,AX16,+e1b,AW16),delk($C$11,+Bval,AX16,+e1b,$D$11,+e2b,Mn-0.5*SD)))</f>
        <v>-0.01872488665688965</v>
      </c>
      <c r="BA16" s="30">
        <f>IF(OR(RHV="",con2=""),"",IF(con3="",fdelk($D$11,Bval,Mn+0.5*SD,e2b,AW16),delk($D$11,+Bval,AX16,+e2b,$E$11,+e3b,AW16)))</f>
        <v>0.042957936736197605</v>
      </c>
      <c r="BB16" s="30">
        <f>IF(OR(RHV="",con3=""),"",IF(con4="",fdelk($E$11,+Bval,AX16,+e3b,AW16),delk($E$11,+Bval,AX16,+e3b,$F$11,+e4b,AW16)))</f>
        <v>0.0217233717648391</v>
      </c>
      <c r="BC16" s="30">
        <f>IF(OR(RHV="",con4=""),"",IF(con5="",fdelk($F$11,+Bval,AX16,+e4b,AW16),delk($F$11,+Bval,AX16,+e4b,$G$11,+e5b,AW16)))</f>
      </c>
      <c r="BD16" s="30">
        <f>IF(OR(RHV="",con5=""),"",IF(con6="",fdelk($G$11,+Bval,AX16,+e5b,AW16),delk($G$11,+Bval,AX16,+e5b,$H$11,+e6b,AW16)))</f>
      </c>
      <c r="BE16" s="30">
        <f>IF(OR(RHV="",con6=""),"",IF(con7="",fdelk($H$11,+Bval,AX16,+e6b,AW16),delk($H$11,+Bval,AX16,+e6b,$I$11,+e7b,AW16)))</f>
      </c>
      <c r="BF16" s="30">
        <f>IF(OR(RHV="",con7=""),"",IF(con8="",fdelk($I$11,+Bval,AX16,+e7b,AW16),delk($I$11,+Bval,AX16,+e7b,$J$11,+e8b,AW16)))</f>
      </c>
      <c r="BG16" s="30">
        <f>IF(OR(RHV="",con8=""),"",IF(con9="",fdelk($J$11,+Bval,AX16,+e8b,AW16),delk($J$11,+Bval,AX16,+e8b,$K$11,+e9b,AW16)))</f>
      </c>
      <c r="BH16" s="38">
        <f>IF(OR(RHV="",con9=""),"",fdelk($K$11,+Bval,AX16,+e9b,AW16))</f>
      </c>
    </row>
    <row r="17" spans="1:60" ht="12.75">
      <c r="A17" s="1"/>
      <c r="B17" s="2" t="s">
        <v>32</v>
      </c>
      <c r="C17" s="14">
        <f>C$10+SUMPRODUCT(Min,e1b)</f>
        <v>1.5423818</v>
      </c>
      <c r="D17" s="14">
        <f>IF(D$10="","",D$10+SUMPRODUCT(Min,e2b))</f>
        <v>0.3884078999999999</v>
      </c>
      <c r="E17" s="14">
        <f>IF(E$10="","",E$10+SUMPRODUCT(Min,e3b))</f>
        <v>-1.2795785999999998</v>
      </c>
      <c r="F17" s="14">
        <f>IF(F$10="","",F$10+SUMPRODUCT(Min,e4b))</f>
      </c>
      <c r="G17" s="14">
        <f>IF(G$10="","",G$10+SUMPRODUCT(Min,e5b))</f>
      </c>
      <c r="H17" s="14">
        <f>IF(H$10="","",H$10+SUMPRODUCT(Min,e6b))</f>
      </c>
      <c r="I17" s="14">
        <f>IF(I$10="","",I$10+SUMPRODUCT(Min,e7b))</f>
      </c>
      <c r="J17" s="14">
        <f>IF(J$10="","",J$10+SUMPRODUCT(Min,e8b))</f>
      </c>
      <c r="K17" s="14">
        <f>IF(K$10="","",K$10+SUMPRODUCT(Min,e9b))</f>
      </c>
      <c r="L17" s="14"/>
      <c r="O17" s="29">
        <f>IF(RHV="","",-cdf(C$11-(Bval-1)*e1b)+cdf(C$11-Bval*e1b))</f>
        <v>0.029677858611654284</v>
      </c>
      <c r="P17" s="29">
        <f>IF(RHV="","",IF(con2="",fdelk(C$11,+Bval,1,+e1b,0),delk(C$11,+Bval,1,+e1b,D$11,+e2b,0)))</f>
        <v>0.1458860437293354</v>
      </c>
      <c r="Q17" s="29">
        <f>IF(OR(RHV="",con2=""),"",IF(con3="",fdelk(D$11,+Bval,1,+e2b,0),delk(D$11,+Bval,1,+e2b,E$11,+e3b,0)))</f>
        <v>-0.03208520144114116</v>
      </c>
      <c r="R17" s="29">
        <f>IF(OR(RHV="",con3=""),"",IF(con4="",fdelk(E$11,+Bval,1,+e3b,0),delk(E$11,+Bval,1,+e3b,F$11,+e4b,0)))</f>
        <v>-0.14347870089984852</v>
      </c>
      <c r="S17" s="29">
        <f>IF(OR(RHV="",con4=""),"",IF(con5="",fdelk(F$11,+Bval,1,+e4b,0),delk(F$11,+Bval,1,+e4b,G$11,+e5b,0)))</f>
      </c>
      <c r="T17" s="29">
        <f>IF(OR(RHV="",con5=""),"",IF(con6="",fdelk(G$11,+Bval,1,+e5b,0),delk(G$11,+Bval,1,+e5b,H$11,+e6b,0)))</f>
      </c>
      <c r="U17" s="29">
        <f>IF(OR(RHV="",con6=""),"",IF(con7="",fdelk(H$11,+Bval,1,+e6b,0),delk(H$11,+Bval,1,+e6b,I$11,+e7b,0)))</f>
      </c>
      <c r="V17" s="29">
        <f>IF(OR(RHV="",con7=""),"",IF(con8="",fdelk(I$11,+Bval,1,+e7b,0),delk(I$11,+Bval,1,+e7b,J$11,+e8b,0)))</f>
      </c>
      <c r="W17" s="29">
        <f>IF(OR(RHV="",con8=""),"",IF(con9="",fdelk(J$11,+Bval,1,+e8b,0),delk(J$11,+Bval,1,+e8b,K$11,+e9b,0)))</f>
      </c>
      <c r="X17" s="29">
        <f>IF(OR(RHV="",con9=""),"",fdelk(K$11,+Bval,1,+e9b,0))</f>
      </c>
      <c r="AA17" s="29">
        <f>IF(RHV="","",-cdf($C$11-(Bval-Max)*e1b)+cdf($C$11-(Bval-Min)*e1b))</f>
        <v>0.029677858611654284</v>
      </c>
      <c r="AB17" s="29">
        <f>IF(RHV="","",IF(con2="",fdelk($C$11,+Bval,+Max,+e1b,+Min),delk($C$11,+Bval,+Max,+e1b,$D$11,+e2b,+Min)))</f>
        <v>0.1458860437293354</v>
      </c>
      <c r="AC17" s="29">
        <f>IF(OR(RHV="",con2=""),"",IF(con3="",fdelk($D$11,+Bval,+Max,+e2b,+Min),delk($D$11,+Bval,+Max,+e2b,$E$11,+e3b,+Min)))</f>
        <v>-0.03208520144114116</v>
      </c>
      <c r="AD17" s="29">
        <f>IF(OR(RHV="",con3=""),"",IF(con4="",fdelk($E$11,+Bval,+Max,+e3b,+Min),delk($E$11,+Bval,+Max,+e3b,$F$11,+e4b,+Min)))</f>
        <v>-0.14347870089984852</v>
      </c>
      <c r="AE17" s="29">
        <f>IF(OR(RHV="",con4=""),"",IF(con5="",fdelk($F$11,+Bval,+Max,+e4b,+Min),delk($F$11,+Bval,+Max,+e4b,$G$11,+e5b,+Min)))</f>
      </c>
      <c r="AF17" s="29">
        <f>IF(OR(RHV="",con5=""),"",IF(con6="",fdelk($G$11,+Bval,+Max,+e5b,+Min),delk($G$11,+Bval,+Max,+e5b,$H$11,+e6b,+Min)))</f>
      </c>
      <c r="AG17" s="29">
        <f>IF(OR(RHV="",con6=""),"",IF(con7="",fdelk($H$11,+Bval,+Max,+e6b,+Min),delk($H$11,+Bval,+Max,+e6b,$I$11,+e7b,+Min)))</f>
      </c>
      <c r="AH17" s="29">
        <f>IF(OR(RHV="",con7=""),"",IF(con8="",fdelk($I$11,+Bval,+Max,+e7b,+Min),delk($I$11,+Bval,+Max,+e7b,$J$11,+e8b,+Min)))</f>
      </c>
      <c r="AI17" s="29">
        <f>IF(OR(RHV="",con8=""),"",IF(con9="",fdelk($J$11,+Bval,+Max,+e8b,+Min),delk($J$11,+Bval,+Max,+e8b,$K$11,+e9b,+Min)))</f>
      </c>
      <c r="AJ17" s="29">
        <f>IF(OR(RHV="",con9=""),"",fdelk($K$11,+Bval,+Max,+e9b,+Min))</f>
      </c>
      <c r="AM17" s="30">
        <f>IF(RHV="","",-cdf($C$11-(Bval-Mn-0.5)*e1b)+cdf($C$11-(Bval-Mn+0.5)*e1b))</f>
        <v>0.02947018023318071</v>
      </c>
      <c r="AN17" s="30">
        <f>IF(RHV="","",IF(con2="",fdelk($C$11,+Bval,+Mn+0.5,+e1b,+Mn-0.5),delk($C$11,+Bval,+Mn+0.5,+e1b,$D$11,+e2b,+Mn-0.5)))</f>
        <v>0.1456766177663043</v>
      </c>
      <c r="AO17" s="30">
        <f>IF(OR(RHV="",con2=""),"",IF(con3="",fdelk($D$11,+Bval,+Mn+0.5,+e2b,+Mn-0.5),delk($D$11,+Bval,+Mn+0.5,+e2b,$E$11,+e3b,+Mn-0.5)))</f>
        <v>-0.02855218454497996</v>
      </c>
      <c r="AP17" s="30">
        <f>IF(OR(RHV="",con3=""),"",IF(con4="",fdelk($E$11,+Bval,+Mn+0.5,+e3b,+Mn-0.5),delk($E$11,+Bval,+Mn+0.5,+e3b,$F$11,+e4b,+Mn-0.5)))</f>
        <v>-0.14659461345450506</v>
      </c>
      <c r="AQ17" s="30">
        <f>IF(OR(RHV="",con4=""),"",IF(con5="",fdelk($F$11,+Bval,+Mn+0.5,+e4b,+Mn-0.5),delk($F$11,+Bval,+Mn+0.5,+e4b,$G$11,+e5b,+Mn-0.5)))</f>
      </c>
      <c r="AR17" s="30">
        <f>IF(OR(RHV="",con5=""),"",IF(con6="",fdelk($G$11,+Bval,+Mn+0.5,+e5b,+Mn-0.5),delk($G$11,+Bval,+Mn+0.5,+e5b,$H$11,+e6b,+Mn-0.5)))</f>
      </c>
      <c r="AS17" s="30">
        <f>IF(OR(RHV="",con6=""),"",IF(con7="",fdelk($H$11,+Bval,+Mn+0.5,+e6b,+Mn-0.5),delk($H$11,+Bval,+Mn+0.5,+e6b,$I$11,+e7b,+Mn-0.5)))</f>
      </c>
      <c r="AT17" s="30">
        <f>IF(OR(RHV="",con7=""),"",IF(con8="",fdelk($I$11,+Bval,+Mn+0.5,+e7b,+Mn-0.5),delk($I$11,+Bval,+Mn+0.5,+e7b,$J$11,+e8b,+Mn-0.5)))</f>
      </c>
      <c r="AU17" s="30">
        <f>IF(OR(RHV="",con8=""),"",IF(con9="",fdelk($J$11,+Bval,+Mn+0.5,+e8b,+Mn-0.5),delk($J$11,+Bval,+Mn+0.5,+e8b,$K$11,+e9b,+Mn-0.5)))</f>
      </c>
      <c r="AV17" s="38">
        <f>IF(OR(RHV="",con9=""),"",fdelk($K$11,+Bval,+Mn+0.5,+e9b,+Mn-0.5))</f>
      </c>
      <c r="AW17" s="32">
        <f>IF(RHV="","",Mn-0.5*SD)</f>
        <v>0.21999999999999997</v>
      </c>
      <c r="AX17" s="32">
        <f>IF(RHV="","",Mn+0.5*SD)</f>
        <v>0.72</v>
      </c>
      <c r="AY17" s="30">
        <f aca="true" t="shared" si="2" ref="AY17:AY48">IF(RHV="","",-cdf($C$11-(Bval-Mn-0.5*SD)*e1b)+cdf($C$11-(Bval-Mn+0.5*SD)*e1b))</f>
        <v>0.014717918614220338</v>
      </c>
      <c r="AZ17" s="30">
        <f>IF(RHV="","",IF(con2="",fdelk($C$11,Bval,AX17,+e1b,AW17),delk($C$11,+Bval,AX17,+e1b,$D$11,+e2b,Mn-0.5*SD)))</f>
        <v>0.07352754944944806</v>
      </c>
      <c r="BA17" s="30">
        <f>IF(OR(RHV="",con2=""),"",IF(con3="",fdelk($D$11,Bval,Mn+0.5*SD,e2b,AW17),delk($D$11,+Bval,AX17,+e2b,$E$11,+e3b,AW17)))</f>
        <v>-0.015433536372946005</v>
      </c>
      <c r="BB17" s="30">
        <f>IF(OR(RHV="",con3=""),"",IF(con4="",fdelk($E$11,+Bval,AX17,+e3b,AW17),delk($E$11,+Bval,AX17,+e3b,$F$11,+e4b,AW17)))</f>
        <v>-0.07281193169072239</v>
      </c>
      <c r="BC17" s="30">
        <f>IF(OR(RHV="",con4=""),"",IF(con5="",fdelk($F$11,+Bval,AX17,+e4b,AW17),delk($F$11,+Bval,AX17,+e4b,$G$11,+e5b,AW17)))</f>
      </c>
      <c r="BD17" s="30">
        <f>IF(OR(RHV="",con5=""),"",IF(con6="",fdelk($G$11,+Bval,AX17,+e5b,AW17),delk($G$11,+Bval,AX17,+e5b,$H$11,+e6b,AW17)))</f>
      </c>
      <c r="BE17" s="30">
        <f>IF(OR(RHV="",con6=""),"",IF(con7="",fdelk($H$11,+Bval,AX17,+e6b,AW17),delk($H$11,+Bval,AX17,+e6b,$I$11,+e7b,AW17)))</f>
      </c>
      <c r="BF17" s="30">
        <f>IF(OR(RHV="",con7=""),"",IF(con8="",fdelk($I$11,+Bval,AX17,+e7b,AW17),delk($I$11,+Bval,AX17,+e7b,$J$11,+e8b,AW17)))</f>
      </c>
      <c r="BG17" s="30">
        <f>IF(OR(RHV="",con8=""),"",IF(con9="",fdelk($J$11,+Bval,AX17,+e8b,AW17),delk($J$11,+Bval,AX17,+e8b,$K$11,+e9b,AW17)))</f>
      </c>
      <c r="BH17" s="38">
        <f>IF(OR(RHV="",con9=""),"",fdelk($K$11,+Bval,AX17,+e9b,AW17))</f>
      </c>
    </row>
    <row r="18" spans="1:60" ht="12.75">
      <c r="A18" s="1"/>
      <c r="B18" s="2" t="s">
        <v>33</v>
      </c>
      <c r="C18" s="4">
        <f>cdf(C17)</f>
        <v>0.8238107021342131</v>
      </c>
      <c r="D18" s="4">
        <f aca="true" t="shared" si="3" ref="D18:K18">IF(D17="","",cdf(D17))</f>
        <v>0.5958993749545881</v>
      </c>
      <c r="E18" s="4">
        <f t="shared" si="3"/>
        <v>0.21762196371761722</v>
      </c>
      <c r="F18" s="4">
        <f t="shared" si="3"/>
      </c>
      <c r="G18" s="4">
        <f t="shared" si="3"/>
      </c>
      <c r="H18" s="4">
        <f t="shared" si="3"/>
      </c>
      <c r="I18" s="4">
        <f t="shared" si="3"/>
      </c>
      <c r="J18" s="4">
        <f t="shared" si="3"/>
      </c>
      <c r="K18" s="4">
        <f t="shared" si="3"/>
      </c>
      <c r="L18" s="4"/>
      <c r="O18" s="30">
        <f aca="true" t="shared" si="4" ref="O18:O65">IF(RHV="","",-cdf(C$11-(Bval-1)*e1b)+cdf(C$11-Bval*e1b))</f>
        <v>0.04427949795241781</v>
      </c>
      <c r="P18" s="30">
        <f aca="true" t="shared" si="5" ref="P18:P65">IF(RHV="","",IF(con2="",fdelk(C$11,+Bval,1,+e1b,0),delk(C$11,+Bval,1,+e1b,D$11,+e2b,0)))</f>
        <v>0.03987801210330788</v>
      </c>
      <c r="Q18" s="30">
        <f aca="true" t="shared" si="6" ref="Q18:Q65">IF(OR(RHV="",con2=""),"",IF(con3="",fdelk(D$11,+Bval,1,+e2b,0),delk(D$11,+Bval,1,+e2b,E$11,+e3b,0)))</f>
        <v>-0.02856457738952667</v>
      </c>
      <c r="R18" s="30">
        <f aca="true" t="shared" si="7" ref="R18:R65">IF(OR(RHV="",con3=""),"",IF(con4="",fdelk(E$11,+Bval,1,+e3b,0),delk(E$11,+Bval,1,+e3b,F$11,+e4b,0)))</f>
        <v>-0.05559293266619905</v>
      </c>
      <c r="S18" s="30">
        <f aca="true" t="shared" si="8" ref="S18:S65">IF(OR(RHV="",con4=""),"",IF(con5="",fdelk(F$11,+Bval,1,+e4b,0),delk(F$11,+Bval,1,+e4b,G$11,+e5b,0)))</f>
      </c>
      <c r="T18" s="30">
        <f aca="true" t="shared" si="9" ref="T18:T65">IF(OR(RHV="",con5=""),"",IF(con6="",fdelk(G$11,+Bval,1,+e5b,0),delk(G$11,+Bval,1,+e5b,H$11,+e6b,0)))</f>
      </c>
      <c r="U18" s="30">
        <f aca="true" t="shared" si="10" ref="U18:U65">IF(OR(RHV="",con6=""),"",IF(con7="",fdelk(H$11,+Bval,1,+e6b,0),delk(H$11,+Bval,1,+e6b,I$11,+e7b,0)))</f>
      </c>
      <c r="V18" s="30">
        <f aca="true" t="shared" si="11" ref="V18:V65">IF(OR(RHV="",con7=""),"",IF(con8="",fdelk(I$11,+Bval,1,+e7b,0),delk(I$11,+Bval,1,+e7b,J$11,+e8b,0)))</f>
      </c>
      <c r="W18" s="30">
        <f aca="true" t="shared" si="12" ref="W18:W65">IF(OR(RHV="",con8=""),"",IF(con9="",fdelk(J$11,+Bval,1,+e8b,0),delk(J$11,+Bval,1,+e8b,K$11,+e9b,0)))</f>
      </c>
      <c r="X18" s="30">
        <f aca="true" t="shared" si="13" ref="X18:X65">IF(OR(RHV="",con9=""),"",fdelk(K$11,+Bval,1,+e9b,0))</f>
      </c>
      <c r="AA18" s="30">
        <f aca="true" t="shared" si="14" ref="AA18:AA65">IF(RHV="","",-cdf($C$11-(Bval-Max)*e1b)+cdf($C$11-(Bval-Min)*e1b))</f>
        <v>0.04427949795241781</v>
      </c>
      <c r="AB18" s="30">
        <f aca="true" t="shared" si="15" ref="AB18:AB65">IF(RHV="","",IF(con2="",fdelk($C$11,+Bval,+Max,+e1b,+Min),delk($C$11,+Bval,+Max,+e1b,$D$11,+e2b,+Min)))</f>
        <v>0.03987801210330788</v>
      </c>
      <c r="AC18" s="30">
        <f aca="true" t="shared" si="16" ref="AC18:AC65">IF(OR(RHV="",con2=""),"",IF(con3="",fdelk($D$11,+Bval,+Max,+e2b,+Min),delk($D$11,+Bval,+Max,+e2b,$E$11,+e3b,+Min)))</f>
        <v>-0.02856457738952667</v>
      </c>
      <c r="AD18" s="30">
        <f aca="true" t="shared" si="17" ref="AD18:AD65">IF(OR(RHV="",con3=""),"",IF(con4="",fdelk($E$11,+Bval,+Max,+e3b,+Min),delk($E$11,+Bval,+Max,+e3b,$F$11,+e4b,+Min)))</f>
        <v>-0.05559293266619905</v>
      </c>
      <c r="AE18" s="30">
        <f aca="true" t="shared" si="18" ref="AE18:AE65">IF(OR(RHV="",con4=""),"",IF(con5="",fdelk($F$11,+Bval,+Max,+e4b,+Min),delk($F$11,+Bval,+Max,+e4b,$G$11,+e5b,+Min)))</f>
      </c>
      <c r="AF18" s="30">
        <f aca="true" t="shared" si="19" ref="AF18:AF65">IF(OR(RHV="",con5=""),"",IF(con6="",fdelk($G$11,+Bval,+Max,+e5b,+Min),delk($G$11,+Bval,+Max,+e5b,$H$11,+e6b,+Min)))</f>
      </c>
      <c r="AG18" s="30">
        <f aca="true" t="shared" si="20" ref="AG18:AG65">IF(OR(RHV="",con6=""),"",IF(con7="",fdelk($H$11,+Bval,+Max,+e6b,+Min),delk($H$11,+Bval,+Max,+e6b,$I$11,+e7b,+Min)))</f>
      </c>
      <c r="AH18" s="30">
        <f aca="true" t="shared" si="21" ref="AH18:AH65">IF(OR(RHV="",con7=""),"",IF(con8="",fdelk($I$11,+Bval,+Max,+e7b,+Min),delk($I$11,+Bval,+Max,+e7b,$J$11,+e8b,+Min)))</f>
      </c>
      <c r="AI18" s="30">
        <f aca="true" t="shared" si="22" ref="AI18:AI65">IF(OR(RHV="",con8=""),"",IF(con9="",fdelk($J$11,+Bval,+Max,+e8b,+Min),delk($J$11,+Bval,+Max,+e8b,$K$11,+e9b,+Min)))</f>
      </c>
      <c r="AJ18" s="30">
        <f aca="true" t="shared" si="23" ref="AJ18:AJ65">IF(OR(RHV="",con9=""),"",fdelk($K$11,+Bval,+Max,+e9b,+Min))</f>
      </c>
      <c r="AM18" s="30">
        <f aca="true" t="shared" si="24" ref="AM18:AM65">IF(RHV="","",-cdf($C$11-(Bval-Mn-0.5)*e1b)+cdf($C$11-(Bval-Mn+0.5)*e1b))</f>
        <v>0.051937425421718086</v>
      </c>
      <c r="AN18" s="30">
        <f aca="true" t="shared" si="25" ref="AN18:AN65">IF(RHV="","",IF(con2="",fdelk($C$11,+Bval,+Mn+0.5,+e1b,+Mn-0.5),delk($C$11,+Bval,+Mn+0.5,+e1b,$D$11,+e2b,+Mn-0.5)))</f>
        <v>0.033919856162249906</v>
      </c>
      <c r="AO18" s="30">
        <f aca="true" t="shared" si="26" ref="AO18:AO65">IF(OR(RHV="",con2=""),"",IF(con3="",fdelk($D$11,+Bval,+Mn+0.5,+e2b,+Mn-0.5),delk($D$11,+Bval,+Mn+0.5,+e2b,$E$11,+e3b,+Mn-0.5)))</f>
        <v>-0.03527632330565014</v>
      </c>
      <c r="AP18" s="30">
        <f aca="true" t="shared" si="27" ref="AP18:AP65">IF(OR(RHV="",con3=""),"",IF(con4="",fdelk($E$11,+Bval,+Mn+0.5,+e3b,+Mn-0.5),delk($E$11,+Bval,+Mn+0.5,+e3b,$F$11,+e4b,+Mn-0.5)))</f>
        <v>-0.05058095827831782</v>
      </c>
      <c r="AQ18" s="30">
        <f aca="true" t="shared" si="28" ref="AQ18:AQ65">IF(OR(RHV="",con4=""),"",IF(con5="",fdelk($F$11,+Bval,+Mn+0.5,+e4b,+Mn-0.5),delk($F$11,+Bval,+Mn+0.5,+e4b,$G$11,+e5b,+Mn-0.5)))</f>
      </c>
      <c r="AR18" s="30">
        <f aca="true" t="shared" si="29" ref="AR18:AR65">IF(OR(RHV="",con5=""),"",IF(con6="",fdelk($G$11,+Bval,+Mn+0.5,+e5b,+Mn-0.5),delk($G$11,+Bval,+Mn+0.5,+e5b,$H$11,+e6b,+Mn-0.5)))</f>
      </c>
      <c r="AS18" s="30">
        <f aca="true" t="shared" si="30" ref="AS18:AS65">IF(OR(RHV="",con6=""),"",IF(con7="",fdelk($H$11,+Bval,+Mn+0.5,+e6b,+Mn-0.5),delk($H$11,+Bval,+Mn+0.5,+e6b,$I$11,+e7b,+Mn-0.5)))</f>
      </c>
      <c r="AT18" s="30">
        <f aca="true" t="shared" si="31" ref="AT18:AT65">IF(OR(RHV="",con7=""),"",IF(con8="",fdelk($I$11,+Bval,+Mn+0.5,+e7b,+Mn-0.5),delk($I$11,+Bval,+Mn+0.5,+e7b,$J$11,+e8b,+Mn-0.5)))</f>
      </c>
      <c r="AU18" s="30">
        <f aca="true" t="shared" si="32" ref="AU18:AU65">IF(OR(RHV="",con8=""),"",IF(con9="",fdelk($J$11,+Bval,+Mn+0.5,+e8b,+Mn-0.5),delk($J$11,+Bval,+Mn+0.5,+e8b,$K$11,+e9b,+Mn-0.5)))</f>
      </c>
      <c r="AV18" s="38">
        <f aca="true" t="shared" si="33" ref="AV18:AV65">IF(OR(RHV="",con9=""),"",fdelk($K$11,+Bval,+Mn+0.5,+e9b,+Mn-0.5))</f>
      </c>
      <c r="AW18" s="33">
        <f aca="true" t="shared" si="34" ref="AW18:AW65">IF(RHV="","",Mn-0.5*SD)</f>
        <v>0.715</v>
      </c>
      <c r="AX18" s="33">
        <f aca="true" t="shared" si="35" ref="AX18:AX65">IF(RHV="","",Mn+0.5*SD)</f>
        <v>1.045</v>
      </c>
      <c r="AY18" s="30">
        <f t="shared" si="2"/>
        <v>0.01706669311635922</v>
      </c>
      <c r="AZ18" s="30">
        <f aca="true" t="shared" si="36" ref="AZ18:AZ65">IF(RHV="","",IF(con2="",fdelk($C$11,Bval,AX18,+e1b,AW18),delk($C$11,+Bval,AX18,+e1b,$D$11,+e2b,Mn-0.5*SD)))</f>
        <v>0.0113275782272384</v>
      </c>
      <c r="BA18" s="30">
        <f aca="true" t="shared" si="37" ref="BA18:BA65">IF(OR(RHV="",con2=""),"",IF(con3="",fdelk($D$11,Bval,Mn+0.5*SD,e2b,AW18),delk($D$11,+Bval,AX18,+e2b,$E$11,+e3b,AW18)))</f>
        <v>-0.01171979323151387</v>
      </c>
      <c r="BB18" s="30">
        <f aca="true" t="shared" si="38" ref="BB18:BB65">IF(OR(RHV="",con3=""),"",IF(con4="",fdelk($E$11,+Bval,AX18,+e3b,AW18),delk($E$11,+Bval,AX18,+e3b,$F$11,+e4b,AW18)))</f>
        <v>-0.016674478112083724</v>
      </c>
      <c r="BC18" s="30">
        <f aca="true" t="shared" si="39" ref="BC18:BC65">IF(OR(RHV="",con4=""),"",IF(con5="",fdelk($F$11,+Bval,AX18,+e4b,AW18),delk($F$11,+Bval,AX18,+e4b,$G$11,+e5b,AW18)))</f>
      </c>
      <c r="BD18" s="30">
        <f aca="true" t="shared" si="40" ref="BD18:BD65">IF(OR(RHV="",con5=""),"",IF(con6="",fdelk($G$11,+Bval,AX18,+e5b,AW18),delk($G$11,+Bval,AX18,+e5b,$H$11,+e6b,AW18)))</f>
      </c>
      <c r="BE18" s="30">
        <f aca="true" t="shared" si="41" ref="BE18:BE65">IF(OR(RHV="",con6=""),"",IF(con7="",fdelk($H$11,+Bval,AX18,+e6b,AW18),delk($H$11,+Bval,AX18,+e6b,$I$11,+e7b,AW18)))</f>
      </c>
      <c r="BF18" s="30">
        <f aca="true" t="shared" si="42" ref="BF18:BF65">IF(OR(RHV="",con7=""),"",IF(con8="",fdelk($I$11,+Bval,AX18,+e7b,AW18),delk($I$11,+Bval,AX18,+e7b,$J$11,+e8b,AW18)))</f>
      </c>
      <c r="BG18" s="30">
        <f aca="true" t="shared" si="43" ref="BG18:BG65">IF(OR(RHV="",con8=""),"",IF(con9="",fdelk($J$11,+Bval,AX18,+e8b,AW18),delk($J$11,+Bval,AX18,+e8b,$K$11,+e9b,AW18)))</f>
      </c>
      <c r="BH18" s="38">
        <f aca="true" t="shared" si="44" ref="BH18:BH65">IF(OR(RHV="",con9=""),"",fdelk($K$11,+Bval,AX18,+e9b,AW18))</f>
      </c>
    </row>
    <row r="19" spans="1:60" ht="12.75">
      <c r="A19" s="1"/>
      <c r="C19" s="13" t="s">
        <v>18</v>
      </c>
      <c r="D19" s="13"/>
      <c r="E19" s="13"/>
      <c r="F19" s="13"/>
      <c r="G19" s="13"/>
      <c r="H19" s="13"/>
      <c r="I19" s="13"/>
      <c r="J19" s="13"/>
      <c r="K19" s="13"/>
      <c r="L19" s="13"/>
      <c r="O19" s="30">
        <f t="shared" si="4"/>
        <v>0.0008686531048536228</v>
      </c>
      <c r="P19" s="30">
        <f t="shared" si="5"/>
        <v>0.0032154642719786075</v>
      </c>
      <c r="Q19" s="30">
        <f t="shared" si="6"/>
        <v>-0.00013837539316541303</v>
      </c>
      <c r="R19" s="30">
        <f t="shared" si="7"/>
        <v>-0.003945741983666817</v>
      </c>
      <c r="S19" s="30">
        <f t="shared" si="8"/>
      </c>
      <c r="T19" s="30">
        <f t="shared" si="9"/>
      </c>
      <c r="U19" s="30">
        <f t="shared" si="10"/>
      </c>
      <c r="V19" s="30">
        <f t="shared" si="11"/>
      </c>
      <c r="W19" s="30">
        <f t="shared" si="12"/>
      </c>
      <c r="X19" s="30">
        <f t="shared" si="13"/>
      </c>
      <c r="AA19" s="30">
        <f t="shared" si="14"/>
        <v>0.1286834079190723</v>
      </c>
      <c r="AB19" s="30">
        <f t="shared" si="15"/>
        <v>0.2876605321385096</v>
      </c>
      <c r="AC19" s="30">
        <f t="shared" si="16"/>
        <v>-0.2545683562774227</v>
      </c>
      <c r="AD19" s="30">
        <f t="shared" si="17"/>
        <v>-0.16177558378015924</v>
      </c>
      <c r="AE19" s="30">
        <f t="shared" si="18"/>
      </c>
      <c r="AF19" s="30">
        <f t="shared" si="19"/>
      </c>
      <c r="AG19" s="30">
        <f t="shared" si="20"/>
      </c>
      <c r="AH19" s="30">
        <f t="shared" si="21"/>
      </c>
      <c r="AI19" s="30">
        <f t="shared" si="22"/>
      </c>
      <c r="AJ19" s="30">
        <f t="shared" si="23"/>
      </c>
      <c r="AM19" s="30">
        <f t="shared" si="24"/>
        <v>0.0015983034668937135</v>
      </c>
      <c r="AN19" s="30">
        <f t="shared" si="25"/>
        <v>0.00455686371941999</v>
      </c>
      <c r="AO19" s="30">
        <f t="shared" si="26"/>
        <v>-0.003654026593880616</v>
      </c>
      <c r="AP19" s="30">
        <f t="shared" si="27"/>
        <v>-0.0025011405924330876</v>
      </c>
      <c r="AQ19" s="30">
        <f t="shared" si="28"/>
      </c>
      <c r="AR19" s="30">
        <f t="shared" si="29"/>
      </c>
      <c r="AS19" s="30">
        <f t="shared" si="30"/>
      </c>
      <c r="AT19" s="30">
        <f t="shared" si="31"/>
      </c>
      <c r="AU19" s="30">
        <f t="shared" si="32"/>
      </c>
      <c r="AV19" s="38">
        <f t="shared" si="33"/>
      </c>
      <c r="AW19" s="33">
        <f t="shared" si="34"/>
        <v>36.55</v>
      </c>
      <c r="AX19" s="33">
        <f t="shared" si="35"/>
        <v>53.33</v>
      </c>
      <c r="AY19" s="30">
        <f t="shared" si="2"/>
        <v>0.026854114024142617</v>
      </c>
      <c r="AZ19" s="30">
        <f t="shared" si="36"/>
        <v>0.07607053627194105</v>
      </c>
      <c r="BA19" s="30">
        <f t="shared" si="37"/>
        <v>-0.060921917103269774</v>
      </c>
      <c r="BB19" s="30">
        <f t="shared" si="38"/>
        <v>-0.04200273319281386</v>
      </c>
      <c r="BC19" s="30">
        <f t="shared" si="39"/>
      </c>
      <c r="BD19" s="30">
        <f t="shared" si="40"/>
      </c>
      <c r="BE19" s="30">
        <f t="shared" si="41"/>
      </c>
      <c r="BF19" s="30">
        <f t="shared" si="42"/>
      </c>
      <c r="BG19" s="30">
        <f t="shared" si="43"/>
      </c>
      <c r="BH19" s="38">
        <f t="shared" si="44"/>
      </c>
    </row>
    <row r="20" spans="1:60" ht="12.75">
      <c r="A20" s="1"/>
      <c r="B20" s="2" t="s">
        <v>32</v>
      </c>
      <c r="C20" s="14">
        <f>C$10+SUMPRODUCT(Max,e1b)</f>
        <v>2.4542335000000004</v>
      </c>
      <c r="D20" s="14">
        <f>IF(D$10="","",D$10+SUMPRODUCT(Max,e2b))</f>
        <v>-0.10906060000000017</v>
      </c>
      <c r="E20" s="14">
        <f>IF(E$10="","",E$10+SUMPRODUCT(Max,e3b))</f>
        <v>-2.2602409</v>
      </c>
      <c r="F20" s="14">
        <f>IF(F$10="","",F$10+SUMPRODUCT(Max,e4b))</f>
      </c>
      <c r="G20" s="14">
        <f>IF(G$10="","",G$10+SUMPRODUCT(Max,e5b))</f>
      </c>
      <c r="H20" s="14">
        <f>IF(H$10="","",H$10+SUMPRODUCT(Max,e6b))</f>
      </c>
      <c r="I20" s="14">
        <f>IF(I$10="","",I$10+SUMPRODUCT(Max,e7b))</f>
      </c>
      <c r="J20" s="14">
        <f>IF(J$10="","",J$10+SUMPRODUCT(Max,e8b))</f>
      </c>
      <c r="K20" s="14">
        <f>IF(K$10="","",K$10+SUMPRODUCT(Max,e9b))</f>
      </c>
      <c r="L20" s="14"/>
      <c r="O20" s="30">
        <f t="shared" si="4"/>
        <v>-0.021371067445927094</v>
      </c>
      <c r="P20" s="30">
        <f t="shared" si="5"/>
        <v>0.007989250445608442</v>
      </c>
      <c r="Q20" s="30">
        <f t="shared" si="6"/>
        <v>0.00879691187200525</v>
      </c>
      <c r="R20" s="30">
        <f t="shared" si="7"/>
        <v>0.004584905128313402</v>
      </c>
      <c r="S20" s="30">
        <f t="shared" si="8"/>
      </c>
      <c r="T20" s="30">
        <f t="shared" si="9"/>
      </c>
      <c r="U20" s="30">
        <f t="shared" si="10"/>
      </c>
      <c r="V20" s="30">
        <f t="shared" si="11"/>
      </c>
      <c r="W20" s="30">
        <f t="shared" si="12"/>
      </c>
      <c r="X20" s="30">
        <f t="shared" si="13"/>
      </c>
      <c r="AA20" s="30">
        <f t="shared" si="14"/>
        <v>-0.25110278727098956</v>
      </c>
      <c r="AB20" s="30">
        <f t="shared" si="15"/>
        <v>-0.020354462241901572</v>
      </c>
      <c r="AC20" s="30">
        <f t="shared" si="16"/>
        <v>0.13063708771700333</v>
      </c>
      <c r="AD20" s="30">
        <f t="shared" si="17"/>
        <v>0.14082016179588785</v>
      </c>
      <c r="AE20" s="30">
        <f t="shared" si="18"/>
      </c>
      <c r="AF20" s="30">
        <f t="shared" si="19"/>
      </c>
      <c r="AG20" s="30">
        <f t="shared" si="20"/>
      </c>
      <c r="AH20" s="30">
        <f t="shared" si="21"/>
      </c>
      <c r="AI20" s="30">
        <f t="shared" si="22"/>
      </c>
      <c r="AJ20" s="30">
        <f t="shared" si="23"/>
      </c>
      <c r="AM20" s="30">
        <f t="shared" si="24"/>
        <v>-0.010095629749898527</v>
      </c>
      <c r="AN20" s="30">
        <f t="shared" si="25"/>
        <v>-0.0036720278490937064</v>
      </c>
      <c r="AO20" s="30">
        <f t="shared" si="26"/>
        <v>0.006181811101007517</v>
      </c>
      <c r="AP20" s="30">
        <f t="shared" si="27"/>
        <v>0.0075858464979846885</v>
      </c>
      <c r="AQ20" s="30">
        <f t="shared" si="28"/>
      </c>
      <c r="AR20" s="30">
        <f t="shared" si="29"/>
      </c>
      <c r="AS20" s="30">
        <f t="shared" si="30"/>
      </c>
      <c r="AT20" s="30">
        <f t="shared" si="31"/>
      </c>
      <c r="AU20" s="30">
        <f t="shared" si="32"/>
      </c>
      <c r="AV20" s="38">
        <f t="shared" si="33"/>
      </c>
      <c r="AW20" s="33">
        <f t="shared" si="34"/>
        <v>10.64</v>
      </c>
      <c r="AX20" s="33">
        <f t="shared" si="35"/>
        <v>13.8</v>
      </c>
      <c r="AY20" s="30">
        <f t="shared" si="2"/>
        <v>-0.03195467207344316</v>
      </c>
      <c r="AZ20" s="30">
        <f t="shared" si="36"/>
        <v>-0.01152680795894745</v>
      </c>
      <c r="BA20" s="30">
        <f t="shared" si="37"/>
        <v>0.019504532949950387</v>
      </c>
      <c r="BB20" s="30">
        <f t="shared" si="38"/>
        <v>0.02397694708244022</v>
      </c>
      <c r="BC20" s="30">
        <f t="shared" si="39"/>
      </c>
      <c r="BD20" s="30">
        <f t="shared" si="40"/>
      </c>
      <c r="BE20" s="30">
        <f t="shared" si="41"/>
      </c>
      <c r="BF20" s="30">
        <f t="shared" si="42"/>
      </c>
      <c r="BG20" s="30">
        <f t="shared" si="43"/>
      </c>
      <c r="BH20" s="38">
        <f t="shared" si="44"/>
      </c>
    </row>
    <row r="21" spans="1:60" ht="12.75">
      <c r="A21" s="1"/>
      <c r="B21" s="2" t="s">
        <v>33</v>
      </c>
      <c r="C21" s="4">
        <f>cdf(C20)</f>
        <v>0.9208704877983054</v>
      </c>
      <c r="D21" s="4">
        <f aca="true" t="shared" si="45" ref="D21:K21">IF(D20="","",cdf(D20))</f>
        <v>0.4727618426899136</v>
      </c>
      <c r="E21" s="4">
        <f t="shared" si="45"/>
        <v>0.09446975909244432</v>
      </c>
      <c r="F21" s="4">
        <f t="shared" si="45"/>
      </c>
      <c r="G21" s="4">
        <f t="shared" si="45"/>
      </c>
      <c r="H21" s="4">
        <f t="shared" si="45"/>
      </c>
      <c r="I21" s="4">
        <f t="shared" si="45"/>
      </c>
      <c r="J21" s="4">
        <f t="shared" si="45"/>
      </c>
      <c r="K21" s="4">
        <f t="shared" si="45"/>
      </c>
      <c r="L21" s="4"/>
      <c r="O21" s="30">
        <f t="shared" si="4"/>
        <v>0.00015695849164132358</v>
      </c>
      <c r="P21" s="30">
        <f t="shared" si="5"/>
        <v>-0.002605919719824823</v>
      </c>
      <c r="Q21" s="30">
        <f t="shared" si="6"/>
        <v>0.0018739428902577182</v>
      </c>
      <c r="R21" s="30">
        <f t="shared" si="7"/>
        <v>0.0005750183379257812</v>
      </c>
      <c r="S21" s="30">
        <f t="shared" si="8"/>
      </c>
      <c r="T21" s="30">
        <f t="shared" si="9"/>
      </c>
      <c r="U21" s="30">
        <f t="shared" si="10"/>
      </c>
      <c r="V21" s="30">
        <f t="shared" si="11"/>
      </c>
      <c r="W21" s="30">
        <f t="shared" si="12"/>
      </c>
      <c r="X21" s="30">
        <f t="shared" si="13"/>
      </c>
      <c r="AA21" s="30">
        <f t="shared" si="14"/>
        <v>0.011689969498234087</v>
      </c>
      <c r="AB21" s="30">
        <f t="shared" si="15"/>
        <v>-0.17834936528253598</v>
      </c>
      <c r="AC21" s="30">
        <f t="shared" si="16"/>
        <v>0.11935460711193768</v>
      </c>
      <c r="AD21" s="30">
        <f t="shared" si="17"/>
        <v>0.047304788672364206</v>
      </c>
      <c r="AE21" s="30">
        <f t="shared" si="18"/>
      </c>
      <c r="AF21" s="30">
        <f t="shared" si="19"/>
      </c>
      <c r="AG21" s="30">
        <f t="shared" si="20"/>
      </c>
      <c r="AH21" s="30">
        <f t="shared" si="21"/>
      </c>
      <c r="AI21" s="30">
        <f t="shared" si="22"/>
      </c>
      <c r="AJ21" s="30">
        <f t="shared" si="23"/>
      </c>
      <c r="AM21" s="30">
        <f t="shared" si="24"/>
        <v>0.00016533761371184674</v>
      </c>
      <c r="AN21" s="30">
        <f t="shared" si="25"/>
        <v>-0.002592199021710817</v>
      </c>
      <c r="AO21" s="30">
        <f t="shared" si="26"/>
        <v>0.00176812946824223</v>
      </c>
      <c r="AP21" s="30">
        <f t="shared" si="27"/>
        <v>0.0006587319397567404</v>
      </c>
      <c r="AQ21" s="30">
        <f t="shared" si="28"/>
      </c>
      <c r="AR21" s="30">
        <f t="shared" si="29"/>
      </c>
      <c r="AS21" s="30">
        <f t="shared" si="30"/>
      </c>
      <c r="AT21" s="30">
        <f t="shared" si="31"/>
      </c>
      <c r="AU21" s="30">
        <f t="shared" si="32"/>
      </c>
      <c r="AV21" s="38">
        <f t="shared" si="33"/>
      </c>
      <c r="AW21" s="33">
        <f t="shared" si="34"/>
        <v>32.345000000000006</v>
      </c>
      <c r="AX21" s="33">
        <f t="shared" si="35"/>
        <v>46.835</v>
      </c>
      <c r="AY21" s="30">
        <f t="shared" si="2"/>
        <v>0.0023957666868481553</v>
      </c>
      <c r="AZ21" s="30">
        <f t="shared" si="36"/>
        <v>-0.03754678347777818</v>
      </c>
      <c r="BA21" s="30">
        <f t="shared" si="37"/>
        <v>0.02560559423693015</v>
      </c>
      <c r="BB21" s="30">
        <f t="shared" si="38"/>
        <v>0.009545422553999872</v>
      </c>
      <c r="BC21" s="30">
        <f t="shared" si="39"/>
      </c>
      <c r="BD21" s="30">
        <f t="shared" si="40"/>
      </c>
      <c r="BE21" s="30">
        <f t="shared" si="41"/>
      </c>
      <c r="BF21" s="30">
        <f t="shared" si="42"/>
      </c>
      <c r="BG21" s="30">
        <f t="shared" si="43"/>
      </c>
      <c r="BH21" s="38">
        <f t="shared" si="44"/>
      </c>
    </row>
    <row r="22" spans="1:60" ht="12.75">
      <c r="A22" s="1"/>
      <c r="B22" s="1"/>
      <c r="C22" s="13" t="s">
        <v>7</v>
      </c>
      <c r="D22" s="13"/>
      <c r="E22" s="35"/>
      <c r="F22" s="35"/>
      <c r="G22" s="35"/>
      <c r="H22" s="35"/>
      <c r="I22" s="35"/>
      <c r="J22" s="35"/>
      <c r="K22" s="35"/>
      <c r="L22" s="35"/>
      <c r="O22" s="30">
        <f t="shared" si="4"/>
      </c>
      <c r="P22" s="30">
        <f t="shared" si="5"/>
      </c>
      <c r="Q22" s="30">
        <f t="shared" si="6"/>
      </c>
      <c r="R22" s="30">
        <f t="shared" si="7"/>
      </c>
      <c r="S22" s="30">
        <f t="shared" si="8"/>
      </c>
      <c r="T22" s="30">
        <f t="shared" si="9"/>
      </c>
      <c r="U22" s="30">
        <f t="shared" si="10"/>
      </c>
      <c r="V22" s="30">
        <f t="shared" si="11"/>
      </c>
      <c r="W22" s="30">
        <f t="shared" si="12"/>
      </c>
      <c r="X22" s="30">
        <f t="shared" si="13"/>
      </c>
      <c r="AA22" s="30">
        <f t="shared" si="14"/>
      </c>
      <c r="AB22" s="30">
        <f t="shared" si="15"/>
      </c>
      <c r="AC22" s="30">
        <f t="shared" si="16"/>
      </c>
      <c r="AD22" s="30">
        <f t="shared" si="17"/>
      </c>
      <c r="AE22" s="30">
        <f t="shared" si="18"/>
      </c>
      <c r="AF22" s="30">
        <f t="shared" si="19"/>
      </c>
      <c r="AG22" s="30">
        <f t="shared" si="20"/>
      </c>
      <c r="AH22" s="30">
        <f t="shared" si="21"/>
      </c>
      <c r="AI22" s="30">
        <f t="shared" si="22"/>
      </c>
      <c r="AJ22" s="30">
        <f t="shared" si="23"/>
      </c>
      <c r="AM22" s="30">
        <f t="shared" si="24"/>
      </c>
      <c r="AN22" s="30">
        <f t="shared" si="25"/>
      </c>
      <c r="AO22" s="30">
        <f t="shared" si="26"/>
      </c>
      <c r="AP22" s="30">
        <f t="shared" si="27"/>
      </c>
      <c r="AQ22" s="30">
        <f t="shared" si="28"/>
      </c>
      <c r="AR22" s="30">
        <f t="shared" si="29"/>
      </c>
      <c r="AS22" s="30">
        <f t="shared" si="30"/>
      </c>
      <c r="AT22" s="30">
        <f t="shared" si="31"/>
      </c>
      <c r="AU22" s="30">
        <f t="shared" si="32"/>
      </c>
      <c r="AV22" s="38">
        <f t="shared" si="33"/>
      </c>
      <c r="AW22" s="33">
        <f t="shared" si="34"/>
      </c>
      <c r="AX22" s="33">
        <f t="shared" si="35"/>
      </c>
      <c r="AY22" s="30">
        <f t="shared" si="2"/>
      </c>
      <c r="AZ22" s="30">
        <f t="shared" si="36"/>
      </c>
      <c r="BA22" s="30">
        <f t="shared" si="37"/>
      </c>
      <c r="BB22" s="30">
        <f t="shared" si="38"/>
      </c>
      <c r="BC22" s="30">
        <f t="shared" si="39"/>
      </c>
      <c r="BD22" s="30">
        <f t="shared" si="40"/>
      </c>
      <c r="BE22" s="30">
        <f t="shared" si="41"/>
      </c>
      <c r="BF22" s="30">
        <f t="shared" si="42"/>
      </c>
      <c r="BG22" s="30">
        <f t="shared" si="43"/>
      </c>
      <c r="BH22" s="38">
        <f t="shared" si="44"/>
      </c>
    </row>
    <row r="23" spans="1:60" ht="12.75">
      <c r="A23" s="1"/>
      <c r="B23" s="19" t="s">
        <v>3</v>
      </c>
      <c r="C23" s="18">
        <f>1-C12</f>
        <v>0.10982501982143111</v>
      </c>
      <c r="D23" s="18">
        <f aca="true" t="shared" si="46" ref="D23:L23">IF(D12="",C12,C12-D12)</f>
        <v>0.3305292949081199</v>
      </c>
      <c r="E23" s="18">
        <f t="shared" si="46"/>
        <v>0.4004967073625006</v>
      </c>
      <c r="F23" s="18">
        <f t="shared" si="46"/>
        <v>0.1591489779079484</v>
      </c>
      <c r="G23" s="18">
        <f t="shared" si="46"/>
      </c>
      <c r="H23" s="18">
        <f t="shared" si="46"/>
      </c>
      <c r="I23" s="18">
        <f t="shared" si="46"/>
      </c>
      <c r="J23" s="18">
        <f t="shared" si="46"/>
      </c>
      <c r="K23" s="18">
        <f t="shared" si="46"/>
      </c>
      <c r="L23" s="18">
        <f t="shared" si="46"/>
      </c>
      <c r="O23" s="30">
        <f t="shared" si="4"/>
      </c>
      <c r="P23" s="30">
        <f t="shared" si="5"/>
      </c>
      <c r="Q23" s="30">
        <f t="shared" si="6"/>
      </c>
      <c r="R23" s="30">
        <f t="shared" si="7"/>
      </c>
      <c r="S23" s="30">
        <f t="shared" si="8"/>
      </c>
      <c r="T23" s="30">
        <f t="shared" si="9"/>
      </c>
      <c r="U23" s="30">
        <f t="shared" si="10"/>
      </c>
      <c r="V23" s="30">
        <f t="shared" si="11"/>
      </c>
      <c r="W23" s="30">
        <f t="shared" si="12"/>
      </c>
      <c r="X23" s="30">
        <f t="shared" si="13"/>
      </c>
      <c r="AA23" s="30">
        <f t="shared" si="14"/>
      </c>
      <c r="AB23" s="30">
        <f t="shared" si="15"/>
      </c>
      <c r="AC23" s="30">
        <f t="shared" si="16"/>
      </c>
      <c r="AD23" s="30">
        <f t="shared" si="17"/>
      </c>
      <c r="AE23" s="30">
        <f t="shared" si="18"/>
      </c>
      <c r="AF23" s="30">
        <f t="shared" si="19"/>
      </c>
      <c r="AG23" s="30">
        <f t="shared" si="20"/>
      </c>
      <c r="AH23" s="30">
        <f t="shared" si="21"/>
      </c>
      <c r="AI23" s="30">
        <f t="shared" si="22"/>
      </c>
      <c r="AJ23" s="30">
        <f t="shared" si="23"/>
      </c>
      <c r="AM23" s="30">
        <f t="shared" si="24"/>
      </c>
      <c r="AN23" s="30">
        <f t="shared" si="25"/>
      </c>
      <c r="AO23" s="30">
        <f t="shared" si="26"/>
      </c>
      <c r="AP23" s="30">
        <f t="shared" si="27"/>
      </c>
      <c r="AQ23" s="30">
        <f t="shared" si="28"/>
      </c>
      <c r="AR23" s="30">
        <f t="shared" si="29"/>
      </c>
      <c r="AS23" s="30">
        <f t="shared" si="30"/>
      </c>
      <c r="AT23" s="30">
        <f t="shared" si="31"/>
      </c>
      <c r="AU23" s="30">
        <f t="shared" si="32"/>
      </c>
      <c r="AV23" s="38">
        <f t="shared" si="33"/>
      </c>
      <c r="AW23" s="33">
        <f t="shared" si="34"/>
      </c>
      <c r="AX23" s="33">
        <f t="shared" si="35"/>
      </c>
      <c r="AY23" s="30">
        <f t="shared" si="2"/>
      </c>
      <c r="AZ23" s="30">
        <f t="shared" si="36"/>
      </c>
      <c r="BA23" s="30">
        <f t="shared" si="37"/>
      </c>
      <c r="BB23" s="30">
        <f t="shared" si="38"/>
      </c>
      <c r="BC23" s="30">
        <f t="shared" si="39"/>
      </c>
      <c r="BD23" s="30">
        <f t="shared" si="40"/>
      </c>
      <c r="BE23" s="30">
        <f t="shared" si="41"/>
      </c>
      <c r="BF23" s="30">
        <f t="shared" si="42"/>
      </c>
      <c r="BG23" s="30">
        <f t="shared" si="43"/>
      </c>
      <c r="BH23" s="38">
        <f t="shared" si="44"/>
      </c>
    </row>
    <row r="24" spans="1:60" ht="12.75">
      <c r="A24" s="1"/>
      <c r="B24" s="19" t="s">
        <v>2</v>
      </c>
      <c r="C24" s="18">
        <f>1-C15</f>
        <v>0.10982501982143111</v>
      </c>
      <c r="D24" s="18">
        <f aca="true" t="shared" si="47" ref="D24:L24">IF(D15="",C15,C15-D15)</f>
        <v>0.3305292949081199</v>
      </c>
      <c r="E24" s="18">
        <f t="shared" si="47"/>
        <v>0.4004967073625006</v>
      </c>
      <c r="F24" s="18">
        <f t="shared" si="47"/>
        <v>0.1591489779079484</v>
      </c>
      <c r="G24" s="18">
        <f t="shared" si="47"/>
      </c>
      <c r="H24" s="18">
        <f t="shared" si="47"/>
      </c>
      <c r="I24" s="18">
        <f t="shared" si="47"/>
      </c>
      <c r="J24" s="18">
        <f t="shared" si="47"/>
      </c>
      <c r="K24" s="18">
        <f t="shared" si="47"/>
      </c>
      <c r="L24" s="18">
        <f t="shared" si="47"/>
      </c>
      <c r="O24" s="30">
        <f t="shared" si="4"/>
      </c>
      <c r="P24" s="30">
        <f t="shared" si="5"/>
      </c>
      <c r="Q24" s="30">
        <f t="shared" si="6"/>
      </c>
      <c r="R24" s="30">
        <f t="shared" si="7"/>
      </c>
      <c r="S24" s="30">
        <f t="shared" si="8"/>
      </c>
      <c r="T24" s="30">
        <f t="shared" si="9"/>
      </c>
      <c r="U24" s="30">
        <f t="shared" si="10"/>
      </c>
      <c r="V24" s="30">
        <f t="shared" si="11"/>
      </c>
      <c r="W24" s="30">
        <f t="shared" si="12"/>
      </c>
      <c r="X24" s="30">
        <f t="shared" si="13"/>
      </c>
      <c r="AA24" s="30">
        <f t="shared" si="14"/>
      </c>
      <c r="AB24" s="30">
        <f t="shared" si="15"/>
      </c>
      <c r="AC24" s="30">
        <f t="shared" si="16"/>
      </c>
      <c r="AD24" s="30">
        <f t="shared" si="17"/>
      </c>
      <c r="AE24" s="30">
        <f t="shared" si="18"/>
      </c>
      <c r="AF24" s="30">
        <f t="shared" si="19"/>
      </c>
      <c r="AG24" s="30">
        <f t="shared" si="20"/>
      </c>
      <c r="AH24" s="30">
        <f t="shared" si="21"/>
      </c>
      <c r="AI24" s="30">
        <f t="shared" si="22"/>
      </c>
      <c r="AJ24" s="30">
        <f t="shared" si="23"/>
      </c>
      <c r="AM24" s="30">
        <f t="shared" si="24"/>
      </c>
      <c r="AN24" s="30">
        <f t="shared" si="25"/>
      </c>
      <c r="AO24" s="30">
        <f t="shared" si="26"/>
      </c>
      <c r="AP24" s="30">
        <f t="shared" si="27"/>
      </c>
      <c r="AQ24" s="30">
        <f t="shared" si="28"/>
      </c>
      <c r="AR24" s="30">
        <f t="shared" si="29"/>
      </c>
      <c r="AS24" s="30">
        <f t="shared" si="30"/>
      </c>
      <c r="AT24" s="30">
        <f t="shared" si="31"/>
      </c>
      <c r="AU24" s="30">
        <f t="shared" si="32"/>
      </c>
      <c r="AV24" s="38">
        <f t="shared" si="33"/>
      </c>
      <c r="AW24" s="33">
        <f t="shared" si="34"/>
      </c>
      <c r="AX24" s="33">
        <f t="shared" si="35"/>
      </c>
      <c r="AY24" s="30">
        <f t="shared" si="2"/>
      </c>
      <c r="AZ24" s="30">
        <f t="shared" si="36"/>
      </c>
      <c r="BA24" s="30">
        <f t="shared" si="37"/>
      </c>
      <c r="BB24" s="30">
        <f t="shared" si="38"/>
      </c>
      <c r="BC24" s="30">
        <f t="shared" si="39"/>
      </c>
      <c r="BD24" s="30">
        <f t="shared" si="40"/>
      </c>
      <c r="BE24" s="30">
        <f t="shared" si="41"/>
      </c>
      <c r="BF24" s="30">
        <f t="shared" si="42"/>
      </c>
      <c r="BG24" s="30">
        <f t="shared" si="43"/>
      </c>
      <c r="BH24" s="38">
        <f t="shared" si="44"/>
      </c>
    </row>
    <row r="25" spans="1:60" ht="12.75">
      <c r="A25" s="1"/>
      <c r="B25" s="19" t="s">
        <v>17</v>
      </c>
      <c r="C25" s="18">
        <f>1-C18</f>
        <v>0.17618929786578685</v>
      </c>
      <c r="D25" s="18">
        <f aca="true" t="shared" si="48" ref="D25:L25">IF(D18="",C18,C18-D18)</f>
        <v>0.22791132717962503</v>
      </c>
      <c r="E25" s="18">
        <f t="shared" si="48"/>
        <v>0.3782774112369709</v>
      </c>
      <c r="F25" s="18">
        <f t="shared" si="48"/>
        <v>0.21762196371761722</v>
      </c>
      <c r="G25" s="18">
        <f t="shared" si="48"/>
      </c>
      <c r="H25" s="18">
        <f t="shared" si="48"/>
      </c>
      <c r="I25" s="18">
        <f t="shared" si="48"/>
      </c>
      <c r="J25" s="18">
        <f t="shared" si="48"/>
      </c>
      <c r="K25" s="18">
        <f t="shared" si="48"/>
      </c>
      <c r="L25" s="18">
        <f t="shared" si="48"/>
      </c>
      <c r="O25" s="30">
        <f t="shared" si="4"/>
      </c>
      <c r="P25" s="30">
        <f t="shared" si="5"/>
      </c>
      <c r="Q25" s="30">
        <f t="shared" si="6"/>
      </c>
      <c r="R25" s="30">
        <f t="shared" si="7"/>
      </c>
      <c r="S25" s="30">
        <f t="shared" si="8"/>
      </c>
      <c r="T25" s="30">
        <f t="shared" si="9"/>
      </c>
      <c r="U25" s="30">
        <f t="shared" si="10"/>
      </c>
      <c r="V25" s="30">
        <f t="shared" si="11"/>
      </c>
      <c r="W25" s="30">
        <f t="shared" si="12"/>
      </c>
      <c r="X25" s="30">
        <f t="shared" si="13"/>
      </c>
      <c r="AA25" s="30">
        <f t="shared" si="14"/>
      </c>
      <c r="AB25" s="30">
        <f t="shared" si="15"/>
      </c>
      <c r="AC25" s="30">
        <f t="shared" si="16"/>
      </c>
      <c r="AD25" s="30">
        <f t="shared" si="17"/>
      </c>
      <c r="AE25" s="30">
        <f t="shared" si="18"/>
      </c>
      <c r="AF25" s="30">
        <f t="shared" si="19"/>
      </c>
      <c r="AG25" s="30">
        <f t="shared" si="20"/>
      </c>
      <c r="AH25" s="30">
        <f t="shared" si="21"/>
      </c>
      <c r="AI25" s="30">
        <f t="shared" si="22"/>
      </c>
      <c r="AJ25" s="30">
        <f t="shared" si="23"/>
      </c>
      <c r="AM25" s="30">
        <f t="shared" si="24"/>
      </c>
      <c r="AN25" s="30">
        <f t="shared" si="25"/>
      </c>
      <c r="AO25" s="30">
        <f t="shared" si="26"/>
      </c>
      <c r="AP25" s="30">
        <f t="shared" si="27"/>
      </c>
      <c r="AQ25" s="30">
        <f t="shared" si="28"/>
      </c>
      <c r="AR25" s="30">
        <f t="shared" si="29"/>
      </c>
      <c r="AS25" s="30">
        <f t="shared" si="30"/>
      </c>
      <c r="AT25" s="30">
        <f t="shared" si="31"/>
      </c>
      <c r="AU25" s="30">
        <f t="shared" si="32"/>
      </c>
      <c r="AV25" s="38">
        <f t="shared" si="33"/>
      </c>
      <c r="AW25" s="33">
        <f t="shared" si="34"/>
      </c>
      <c r="AX25" s="33">
        <f t="shared" si="35"/>
      </c>
      <c r="AY25" s="30">
        <f t="shared" si="2"/>
      </c>
      <c r="AZ25" s="30">
        <f t="shared" si="36"/>
      </c>
      <c r="BA25" s="30">
        <f t="shared" si="37"/>
      </c>
      <c r="BB25" s="30">
        <f t="shared" si="38"/>
      </c>
      <c r="BC25" s="30">
        <f t="shared" si="39"/>
      </c>
      <c r="BD25" s="30">
        <f t="shared" si="40"/>
      </c>
      <c r="BE25" s="30">
        <f t="shared" si="41"/>
      </c>
      <c r="BF25" s="30">
        <f t="shared" si="42"/>
      </c>
      <c r="BG25" s="30">
        <f t="shared" si="43"/>
      </c>
      <c r="BH25" s="38">
        <f t="shared" si="44"/>
      </c>
    </row>
    <row r="26" spans="1:60" ht="12.75">
      <c r="A26" s="1"/>
      <c r="B26" s="20" t="s">
        <v>18</v>
      </c>
      <c r="C26" s="21">
        <f>1-C21</f>
        <v>0.07912951220169462</v>
      </c>
      <c r="D26" s="21">
        <f aca="true" t="shared" si="49" ref="D26:L26">IF(D21="",C21,C21-D21)</f>
        <v>0.44810864510839177</v>
      </c>
      <c r="E26" s="21">
        <f t="shared" si="49"/>
        <v>0.3782920835974693</v>
      </c>
      <c r="F26" s="21">
        <f t="shared" si="49"/>
        <v>0.09446975909244432</v>
      </c>
      <c r="G26" s="21">
        <f t="shared" si="49"/>
      </c>
      <c r="H26" s="21">
        <f t="shared" si="49"/>
      </c>
      <c r="I26" s="21">
        <f t="shared" si="49"/>
      </c>
      <c r="J26" s="21">
        <f t="shared" si="49"/>
      </c>
      <c r="K26" s="21">
        <f t="shared" si="49"/>
      </c>
      <c r="L26" s="21">
        <f t="shared" si="49"/>
      </c>
      <c r="O26" s="30">
        <f t="shared" si="4"/>
      </c>
      <c r="P26" s="30">
        <f t="shared" si="5"/>
      </c>
      <c r="Q26" s="30">
        <f t="shared" si="6"/>
      </c>
      <c r="R26" s="30">
        <f t="shared" si="7"/>
      </c>
      <c r="S26" s="30">
        <f t="shared" si="8"/>
      </c>
      <c r="T26" s="30">
        <f t="shared" si="9"/>
      </c>
      <c r="U26" s="30">
        <f t="shared" si="10"/>
      </c>
      <c r="V26" s="30">
        <f t="shared" si="11"/>
      </c>
      <c r="W26" s="30">
        <f t="shared" si="12"/>
      </c>
      <c r="X26" s="30">
        <f t="shared" si="13"/>
      </c>
      <c r="AA26" s="30">
        <f t="shared" si="14"/>
      </c>
      <c r="AB26" s="30">
        <f t="shared" si="15"/>
      </c>
      <c r="AC26" s="30">
        <f t="shared" si="16"/>
      </c>
      <c r="AD26" s="30">
        <f t="shared" si="17"/>
      </c>
      <c r="AE26" s="30">
        <f t="shared" si="18"/>
      </c>
      <c r="AF26" s="30">
        <f t="shared" si="19"/>
      </c>
      <c r="AG26" s="30">
        <f t="shared" si="20"/>
      </c>
      <c r="AH26" s="30">
        <f t="shared" si="21"/>
      </c>
      <c r="AI26" s="30">
        <f t="shared" si="22"/>
      </c>
      <c r="AJ26" s="30">
        <f t="shared" si="23"/>
      </c>
      <c r="AM26" s="30">
        <f t="shared" si="24"/>
      </c>
      <c r="AN26" s="30">
        <f t="shared" si="25"/>
      </c>
      <c r="AO26" s="30">
        <f t="shared" si="26"/>
      </c>
      <c r="AP26" s="30">
        <f t="shared" si="27"/>
      </c>
      <c r="AQ26" s="30">
        <f t="shared" si="28"/>
      </c>
      <c r="AR26" s="30">
        <f t="shared" si="29"/>
      </c>
      <c r="AS26" s="30">
        <f t="shared" si="30"/>
      </c>
      <c r="AT26" s="30">
        <f t="shared" si="31"/>
      </c>
      <c r="AU26" s="30">
        <f t="shared" si="32"/>
      </c>
      <c r="AV26" s="38">
        <f t="shared" si="33"/>
      </c>
      <c r="AW26" s="33">
        <f t="shared" si="34"/>
      </c>
      <c r="AX26" s="33">
        <f t="shared" si="35"/>
      </c>
      <c r="AY26" s="30">
        <f t="shared" si="2"/>
      </c>
      <c r="AZ26" s="30">
        <f t="shared" si="36"/>
      </c>
      <c r="BA26" s="30">
        <f t="shared" si="37"/>
      </c>
      <c r="BB26" s="30">
        <f t="shared" si="38"/>
      </c>
      <c r="BC26" s="30">
        <f t="shared" si="39"/>
      </c>
      <c r="BD26" s="30">
        <f t="shared" si="40"/>
      </c>
      <c r="BE26" s="30">
        <f t="shared" si="41"/>
      </c>
      <c r="BF26" s="30">
        <f t="shared" si="42"/>
      </c>
      <c r="BG26" s="30">
        <f t="shared" si="43"/>
      </c>
      <c r="BH26" s="38">
        <f t="shared" si="44"/>
      </c>
    </row>
    <row r="27" spans="1:60" ht="12.75">
      <c r="A27" s="1"/>
      <c r="B27" s="1"/>
      <c r="C27" s="13"/>
      <c r="D27" s="13"/>
      <c r="E27" s="13"/>
      <c r="F27" s="13"/>
      <c r="G27" s="13"/>
      <c r="H27" s="13"/>
      <c r="I27" s="13"/>
      <c r="J27" s="13"/>
      <c r="K27" s="13"/>
      <c r="L27" s="13"/>
      <c r="O27" s="30">
        <f t="shared" si="4"/>
      </c>
      <c r="P27" s="30">
        <f t="shared" si="5"/>
      </c>
      <c r="Q27" s="30">
        <f t="shared" si="6"/>
      </c>
      <c r="R27" s="30">
        <f t="shared" si="7"/>
      </c>
      <c r="S27" s="30">
        <f t="shared" si="8"/>
      </c>
      <c r="T27" s="30">
        <f t="shared" si="9"/>
      </c>
      <c r="U27" s="30">
        <f t="shared" si="10"/>
      </c>
      <c r="V27" s="30">
        <f t="shared" si="11"/>
      </c>
      <c r="W27" s="30">
        <f t="shared" si="12"/>
      </c>
      <c r="X27" s="30">
        <f t="shared" si="13"/>
      </c>
      <c r="AA27" s="30">
        <f t="shared" si="14"/>
      </c>
      <c r="AB27" s="30">
        <f t="shared" si="15"/>
      </c>
      <c r="AC27" s="30">
        <f t="shared" si="16"/>
      </c>
      <c r="AD27" s="30">
        <f t="shared" si="17"/>
      </c>
      <c r="AE27" s="30">
        <f t="shared" si="18"/>
      </c>
      <c r="AF27" s="30">
        <f t="shared" si="19"/>
      </c>
      <c r="AG27" s="30">
        <f t="shared" si="20"/>
      </c>
      <c r="AH27" s="30">
        <f t="shared" si="21"/>
      </c>
      <c r="AI27" s="30">
        <f t="shared" si="22"/>
      </c>
      <c r="AJ27" s="30">
        <f t="shared" si="23"/>
      </c>
      <c r="AM27" s="30">
        <f t="shared" si="24"/>
      </c>
      <c r="AN27" s="30">
        <f t="shared" si="25"/>
      </c>
      <c r="AO27" s="30">
        <f t="shared" si="26"/>
      </c>
      <c r="AP27" s="30">
        <f t="shared" si="27"/>
      </c>
      <c r="AQ27" s="30">
        <f t="shared" si="28"/>
      </c>
      <c r="AR27" s="30">
        <f t="shared" si="29"/>
      </c>
      <c r="AS27" s="30">
        <f t="shared" si="30"/>
      </c>
      <c r="AT27" s="30">
        <f t="shared" si="31"/>
      </c>
      <c r="AU27" s="30">
        <f t="shared" si="32"/>
      </c>
      <c r="AV27" s="38">
        <f t="shared" si="33"/>
      </c>
      <c r="AW27" s="33">
        <f t="shared" si="34"/>
      </c>
      <c r="AX27" s="33">
        <f t="shared" si="35"/>
      </c>
      <c r="AY27" s="30">
        <f t="shared" si="2"/>
      </c>
      <c r="AZ27" s="30">
        <f t="shared" si="36"/>
      </c>
      <c r="BA27" s="30">
        <f t="shared" si="37"/>
      </c>
      <c r="BB27" s="30">
        <f t="shared" si="38"/>
      </c>
      <c r="BC27" s="30">
        <f t="shared" si="39"/>
      </c>
      <c r="BD27" s="30">
        <f t="shared" si="40"/>
      </c>
      <c r="BE27" s="30">
        <f t="shared" si="41"/>
      </c>
      <c r="BF27" s="30">
        <f t="shared" si="42"/>
      </c>
      <c r="BG27" s="30">
        <f t="shared" si="43"/>
      </c>
      <c r="BH27" s="38">
        <f t="shared" si="44"/>
      </c>
    </row>
    <row r="28" spans="1:60" ht="12.75">
      <c r="A28" s="1"/>
      <c r="B28" s="1" t="s">
        <v>42</v>
      </c>
      <c r="C28" s="4">
        <f ca="1">INDIRECT(ADDRESS(Chorder1,12,1,,"Input"))</f>
        <v>0.95575</v>
      </c>
      <c r="D28" s="4">
        <f aca="true" ca="1" t="shared" si="50" ref="D28:K28">IF(D$8&gt;NmE,"",INDIRECT(ADDRESS(Chorder1,11+D$8,1,,"Input")))</f>
        <v>0.5363707</v>
      </c>
      <c r="E28" s="4">
        <f ca="1" t="shared" si="50"/>
        <v>0.3312184</v>
      </c>
      <c r="F28" s="4">
        <f ca="1" t="shared" si="50"/>
      </c>
      <c r="G28" s="4">
        <f ca="1" t="shared" si="50"/>
      </c>
      <c r="H28" s="4">
        <f ca="1" t="shared" si="50"/>
      </c>
      <c r="I28" s="4">
        <f ca="1" t="shared" si="50"/>
      </c>
      <c r="J28" s="4">
        <f ca="1" t="shared" si="50"/>
      </c>
      <c r="K28" s="4">
        <f ca="1" t="shared" si="50"/>
      </c>
      <c r="L28" s="4">
        <f ca="1">IF(L$8&gt;NmE,"",INDIRECT(ADDRESS(Chorder1,6+L$8,1,,"Input")))</f>
      </c>
      <c r="O28" s="30">
        <f t="shared" si="4"/>
      </c>
      <c r="P28" s="30">
        <f t="shared" si="5"/>
      </c>
      <c r="Q28" s="30">
        <f t="shared" si="6"/>
      </c>
      <c r="R28" s="30">
        <f t="shared" si="7"/>
      </c>
      <c r="S28" s="30">
        <f t="shared" si="8"/>
      </c>
      <c r="T28" s="30">
        <f t="shared" si="9"/>
      </c>
      <c r="U28" s="30">
        <f t="shared" si="10"/>
      </c>
      <c r="V28" s="30">
        <f t="shared" si="11"/>
      </c>
      <c r="W28" s="30">
        <f t="shared" si="12"/>
      </c>
      <c r="X28" s="30">
        <f t="shared" si="13"/>
      </c>
      <c r="AA28" s="30">
        <f t="shared" si="14"/>
      </c>
      <c r="AB28" s="30">
        <f t="shared" si="15"/>
      </c>
      <c r="AC28" s="30">
        <f t="shared" si="16"/>
      </c>
      <c r="AD28" s="30">
        <f t="shared" si="17"/>
      </c>
      <c r="AE28" s="30">
        <f t="shared" si="18"/>
      </c>
      <c r="AF28" s="30">
        <f t="shared" si="19"/>
      </c>
      <c r="AG28" s="30">
        <f t="shared" si="20"/>
      </c>
      <c r="AH28" s="30">
        <f t="shared" si="21"/>
      </c>
      <c r="AI28" s="30">
        <f t="shared" si="22"/>
      </c>
      <c r="AJ28" s="30">
        <f t="shared" si="23"/>
      </c>
      <c r="AM28" s="30">
        <f t="shared" si="24"/>
      </c>
      <c r="AN28" s="30">
        <f t="shared" si="25"/>
      </c>
      <c r="AO28" s="30">
        <f t="shared" si="26"/>
      </c>
      <c r="AP28" s="30">
        <f t="shared" si="27"/>
      </c>
      <c r="AQ28" s="30">
        <f t="shared" si="28"/>
      </c>
      <c r="AR28" s="30">
        <f t="shared" si="29"/>
      </c>
      <c r="AS28" s="30">
        <f t="shared" si="30"/>
      </c>
      <c r="AT28" s="30">
        <f t="shared" si="31"/>
      </c>
      <c r="AU28" s="30">
        <f t="shared" si="32"/>
      </c>
      <c r="AV28" s="38">
        <f t="shared" si="33"/>
      </c>
      <c r="AW28" s="33">
        <f t="shared" si="34"/>
      </c>
      <c r="AX28" s="33">
        <f t="shared" si="35"/>
      </c>
      <c r="AY28" s="30">
        <f t="shared" si="2"/>
      </c>
      <c r="AZ28" s="30">
        <f t="shared" si="36"/>
      </c>
      <c r="BA28" s="30">
        <f t="shared" si="37"/>
      </c>
      <c r="BB28" s="30">
        <f t="shared" si="38"/>
      </c>
      <c r="BC28" s="30">
        <f t="shared" si="39"/>
      </c>
      <c r="BD28" s="30">
        <f t="shared" si="40"/>
      </c>
      <c r="BE28" s="30">
        <f t="shared" si="41"/>
      </c>
      <c r="BF28" s="30">
        <f t="shared" si="42"/>
      </c>
      <c r="BG28" s="30">
        <f t="shared" si="43"/>
      </c>
      <c r="BH28" s="38">
        <f t="shared" si="44"/>
      </c>
    </row>
    <row r="29" spans="1:60" ht="12.75">
      <c r="A29" s="1"/>
      <c r="B29" s="1" t="s">
        <v>44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O29" s="30">
        <f t="shared" si="4"/>
      </c>
      <c r="P29" s="30">
        <f t="shared" si="5"/>
      </c>
      <c r="Q29" s="30">
        <f t="shared" si="6"/>
      </c>
      <c r="R29" s="30">
        <f t="shared" si="7"/>
      </c>
      <c r="S29" s="30">
        <f t="shared" si="8"/>
      </c>
      <c r="T29" s="30">
        <f t="shared" si="9"/>
      </c>
      <c r="U29" s="30">
        <f t="shared" si="10"/>
      </c>
      <c r="V29" s="30">
        <f t="shared" si="11"/>
      </c>
      <c r="W29" s="30">
        <f t="shared" si="12"/>
      </c>
      <c r="X29" s="30">
        <f t="shared" si="13"/>
      </c>
      <c r="AA29" s="30">
        <f t="shared" si="14"/>
      </c>
      <c r="AB29" s="30">
        <f t="shared" si="15"/>
      </c>
      <c r="AC29" s="30">
        <f t="shared" si="16"/>
      </c>
      <c r="AD29" s="30">
        <f t="shared" si="17"/>
      </c>
      <c r="AE29" s="30">
        <f t="shared" si="18"/>
      </c>
      <c r="AF29" s="30">
        <f t="shared" si="19"/>
      </c>
      <c r="AG29" s="30">
        <f t="shared" si="20"/>
      </c>
      <c r="AH29" s="30">
        <f t="shared" si="21"/>
      </c>
      <c r="AI29" s="30">
        <f t="shared" si="22"/>
      </c>
      <c r="AJ29" s="30">
        <f t="shared" si="23"/>
      </c>
      <c r="AM29" s="30">
        <f t="shared" si="24"/>
      </c>
      <c r="AN29" s="30">
        <f t="shared" si="25"/>
      </c>
      <c r="AO29" s="30">
        <f t="shared" si="26"/>
      </c>
      <c r="AP29" s="30">
        <f t="shared" si="27"/>
      </c>
      <c r="AQ29" s="30">
        <f t="shared" si="28"/>
      </c>
      <c r="AR29" s="30">
        <f t="shared" si="29"/>
      </c>
      <c r="AS29" s="30">
        <f t="shared" si="30"/>
      </c>
      <c r="AT29" s="30">
        <f t="shared" si="31"/>
      </c>
      <c r="AU29" s="30">
        <f t="shared" si="32"/>
      </c>
      <c r="AV29" s="38">
        <f t="shared" si="33"/>
      </c>
      <c r="AW29" s="33">
        <f t="shared" si="34"/>
      </c>
      <c r="AX29" s="33">
        <f t="shared" si="35"/>
      </c>
      <c r="AY29" s="30">
        <f t="shared" si="2"/>
      </c>
      <c r="AZ29" s="30">
        <f t="shared" si="36"/>
      </c>
      <c r="BA29" s="30">
        <f t="shared" si="37"/>
      </c>
      <c r="BB29" s="30">
        <f t="shared" si="38"/>
      </c>
      <c r="BC29" s="30">
        <f t="shared" si="39"/>
      </c>
      <c r="BD29" s="30">
        <f t="shared" si="40"/>
      </c>
      <c r="BE29" s="30">
        <f t="shared" si="41"/>
      </c>
      <c r="BF29" s="30">
        <f t="shared" si="42"/>
      </c>
      <c r="BG29" s="30">
        <f t="shared" si="43"/>
      </c>
      <c r="BH29" s="38">
        <f t="shared" si="44"/>
      </c>
    </row>
    <row r="30" spans="1:60" ht="12.75">
      <c r="A30" s="1"/>
      <c r="B30" s="1">
        <f>IF(Calculator!E24="","",Calculator!E24)</f>
        <v>0</v>
      </c>
      <c r="C30" s="4">
        <f>IF(OR(C$8&gt;NmE,$B30=""),"",cdf(SumBV-C$28*(BsVc1-$B30)))</f>
        <v>0.8468660724124926</v>
      </c>
      <c r="D30" s="4">
        <f aca="true" t="shared" si="51" ref="D30:K34">IF(OR(D$8&gt;NmE,$B30=""),"",cdf(SumBV-D$28*(BsVc1-$B30)))</f>
        <v>0.5062936513292978</v>
      </c>
      <c r="E30" s="4">
        <f t="shared" si="51"/>
        <v>0.14220918841491378</v>
      </c>
      <c r="F30" s="4">
        <f t="shared" si="51"/>
      </c>
      <c r="G30" s="4">
        <f t="shared" si="51"/>
      </c>
      <c r="H30" s="4">
        <f t="shared" si="51"/>
      </c>
      <c r="I30" s="4">
        <f t="shared" si="51"/>
      </c>
      <c r="J30" s="4">
        <f t="shared" si="51"/>
      </c>
      <c r="K30" s="4">
        <f t="shared" si="51"/>
      </c>
      <c r="L30" s="4">
        <f>IF(OR(L$8&gt;NmE,$B30=""),"",cdf(SumBV-BVc1*(BsVc1-$B30)))</f>
      </c>
      <c r="O30" s="30">
        <f t="shared" si="4"/>
      </c>
      <c r="P30" s="30">
        <f t="shared" si="5"/>
      </c>
      <c r="Q30" s="30">
        <f t="shared" si="6"/>
      </c>
      <c r="R30" s="30">
        <f t="shared" si="7"/>
      </c>
      <c r="S30" s="30">
        <f t="shared" si="8"/>
      </c>
      <c r="T30" s="30">
        <f t="shared" si="9"/>
      </c>
      <c r="U30" s="30">
        <f t="shared" si="10"/>
      </c>
      <c r="V30" s="30">
        <f t="shared" si="11"/>
      </c>
      <c r="W30" s="30">
        <f t="shared" si="12"/>
      </c>
      <c r="X30" s="30">
        <f t="shared" si="13"/>
      </c>
      <c r="AA30" s="30">
        <f t="shared" si="14"/>
      </c>
      <c r="AB30" s="30">
        <f t="shared" si="15"/>
      </c>
      <c r="AC30" s="30">
        <f t="shared" si="16"/>
      </c>
      <c r="AD30" s="30">
        <f t="shared" si="17"/>
      </c>
      <c r="AE30" s="30">
        <f t="shared" si="18"/>
      </c>
      <c r="AF30" s="30">
        <f t="shared" si="19"/>
      </c>
      <c r="AG30" s="30">
        <f t="shared" si="20"/>
      </c>
      <c r="AH30" s="30">
        <f t="shared" si="21"/>
      </c>
      <c r="AI30" s="30">
        <f t="shared" si="22"/>
      </c>
      <c r="AJ30" s="30">
        <f t="shared" si="23"/>
      </c>
      <c r="AM30" s="30">
        <f t="shared" si="24"/>
      </c>
      <c r="AN30" s="30">
        <f t="shared" si="25"/>
      </c>
      <c r="AO30" s="30">
        <f t="shared" si="26"/>
      </c>
      <c r="AP30" s="30">
        <f t="shared" si="27"/>
      </c>
      <c r="AQ30" s="30">
        <f t="shared" si="28"/>
      </c>
      <c r="AR30" s="30">
        <f t="shared" si="29"/>
      </c>
      <c r="AS30" s="30">
        <f t="shared" si="30"/>
      </c>
      <c r="AT30" s="30">
        <f t="shared" si="31"/>
      </c>
      <c r="AU30" s="30">
        <f t="shared" si="32"/>
      </c>
      <c r="AV30" s="38">
        <f t="shared" si="33"/>
      </c>
      <c r="AW30" s="33">
        <f t="shared" si="34"/>
      </c>
      <c r="AX30" s="33">
        <f t="shared" si="35"/>
      </c>
      <c r="AY30" s="30">
        <f t="shared" si="2"/>
      </c>
      <c r="AZ30" s="30">
        <f t="shared" si="36"/>
      </c>
      <c r="BA30" s="30">
        <f t="shared" si="37"/>
      </c>
      <c r="BB30" s="30">
        <f t="shared" si="38"/>
      </c>
      <c r="BC30" s="30">
        <f t="shared" si="39"/>
      </c>
      <c r="BD30" s="30">
        <f t="shared" si="40"/>
      </c>
      <c r="BE30" s="30">
        <f t="shared" si="41"/>
      </c>
      <c r="BF30" s="30">
        <f t="shared" si="42"/>
      </c>
      <c r="BG30" s="30">
        <f t="shared" si="43"/>
      </c>
      <c r="BH30" s="38">
        <f t="shared" si="44"/>
      </c>
    </row>
    <row r="31" spans="1:60" ht="12.75">
      <c r="A31" s="1"/>
      <c r="B31" s="1">
        <f>IF(Calculator!E25="","",Calculator!E25)</f>
        <v>1</v>
      </c>
      <c r="C31" s="4">
        <f>IF(OR(C$8&gt;NmE,$B31=""),"",cdf(SumBV-C$28*(BsVc1-$B31)))</f>
        <v>0.9349890852097857</v>
      </c>
      <c r="D31" s="4">
        <f t="shared" si="51"/>
        <v>0.6368103261978105</v>
      </c>
      <c r="E31" s="4">
        <f t="shared" si="51"/>
        <v>0.18757532121208123</v>
      </c>
      <c r="F31" s="4">
        <f t="shared" si="51"/>
      </c>
      <c r="G31" s="4">
        <f t="shared" si="51"/>
      </c>
      <c r="H31" s="4">
        <f t="shared" si="51"/>
      </c>
      <c r="I31" s="4">
        <f t="shared" si="51"/>
      </c>
      <c r="J31" s="4">
        <f t="shared" si="51"/>
      </c>
      <c r="K31" s="4">
        <f t="shared" si="51"/>
      </c>
      <c r="L31" s="4">
        <f>IF(OR(L$8&gt;NmE,$B31=""),"",cdf(SumBV-BVc1*(BsVc1-$B31)))</f>
      </c>
      <c r="O31" s="30">
        <f t="shared" si="4"/>
      </c>
      <c r="P31" s="30">
        <f t="shared" si="5"/>
      </c>
      <c r="Q31" s="30">
        <f t="shared" si="6"/>
      </c>
      <c r="R31" s="30">
        <f t="shared" si="7"/>
      </c>
      <c r="S31" s="30">
        <f t="shared" si="8"/>
      </c>
      <c r="T31" s="30">
        <f t="shared" si="9"/>
      </c>
      <c r="U31" s="30">
        <f t="shared" si="10"/>
      </c>
      <c r="V31" s="30">
        <f t="shared" si="11"/>
      </c>
      <c r="W31" s="30">
        <f t="shared" si="12"/>
      </c>
      <c r="X31" s="30">
        <f t="shared" si="13"/>
      </c>
      <c r="AA31" s="30">
        <f t="shared" si="14"/>
      </c>
      <c r="AB31" s="30">
        <f t="shared" si="15"/>
      </c>
      <c r="AC31" s="30">
        <f t="shared" si="16"/>
      </c>
      <c r="AD31" s="30">
        <f t="shared" si="17"/>
      </c>
      <c r="AE31" s="30">
        <f t="shared" si="18"/>
      </c>
      <c r="AF31" s="30">
        <f t="shared" si="19"/>
      </c>
      <c r="AG31" s="30">
        <f t="shared" si="20"/>
      </c>
      <c r="AH31" s="30">
        <f t="shared" si="21"/>
      </c>
      <c r="AI31" s="30">
        <f t="shared" si="22"/>
      </c>
      <c r="AJ31" s="30">
        <f t="shared" si="23"/>
      </c>
      <c r="AM31" s="30">
        <f t="shared" si="24"/>
      </c>
      <c r="AN31" s="30">
        <f t="shared" si="25"/>
      </c>
      <c r="AO31" s="30">
        <f t="shared" si="26"/>
      </c>
      <c r="AP31" s="30">
        <f t="shared" si="27"/>
      </c>
      <c r="AQ31" s="30">
        <f t="shared" si="28"/>
      </c>
      <c r="AR31" s="30">
        <f t="shared" si="29"/>
      </c>
      <c r="AS31" s="30">
        <f t="shared" si="30"/>
      </c>
      <c r="AT31" s="30">
        <f t="shared" si="31"/>
      </c>
      <c r="AU31" s="30">
        <f t="shared" si="32"/>
      </c>
      <c r="AV31" s="38">
        <f t="shared" si="33"/>
      </c>
      <c r="AW31" s="33">
        <f t="shared" si="34"/>
      </c>
      <c r="AX31" s="33">
        <f t="shared" si="35"/>
      </c>
      <c r="AY31" s="30">
        <f t="shared" si="2"/>
      </c>
      <c r="AZ31" s="30">
        <f t="shared" si="36"/>
      </c>
      <c r="BA31" s="30">
        <f t="shared" si="37"/>
      </c>
      <c r="BB31" s="30">
        <f t="shared" si="38"/>
      </c>
      <c r="BC31" s="30">
        <f t="shared" si="39"/>
      </c>
      <c r="BD31" s="30">
        <f t="shared" si="40"/>
      </c>
      <c r="BE31" s="30">
        <f t="shared" si="41"/>
      </c>
      <c r="BF31" s="30">
        <f t="shared" si="42"/>
      </c>
      <c r="BG31" s="30">
        <f t="shared" si="43"/>
      </c>
      <c r="BH31" s="38">
        <f t="shared" si="44"/>
      </c>
    </row>
    <row r="32" spans="1:60" ht="12.75">
      <c r="A32" s="1"/>
      <c r="B32" s="1">
        <f>IF(Calculator!E26="","",Calculator!E26)</f>
      </c>
      <c r="C32" s="4">
        <f>IF(OR(C$8&gt;NmE,$B32=""),"",cdf(SumBV-C$28*(BsVc1-$B32)))</f>
      </c>
      <c r="D32" s="4">
        <f t="shared" si="51"/>
      </c>
      <c r="E32" s="4">
        <f t="shared" si="51"/>
      </c>
      <c r="F32" s="4">
        <f t="shared" si="51"/>
      </c>
      <c r="G32" s="4">
        <f t="shared" si="51"/>
      </c>
      <c r="H32" s="4">
        <f t="shared" si="51"/>
      </c>
      <c r="I32" s="4">
        <f t="shared" si="51"/>
      </c>
      <c r="J32" s="4">
        <f t="shared" si="51"/>
      </c>
      <c r="K32" s="4">
        <f t="shared" si="51"/>
      </c>
      <c r="L32" s="4">
        <f>IF(OR(L$8&gt;NmE,$B32=""),"",cdf(SumBV-BVc1*(BsVc1-$B32)))</f>
      </c>
      <c r="O32" s="30">
        <f t="shared" si="4"/>
      </c>
      <c r="P32" s="30">
        <f t="shared" si="5"/>
      </c>
      <c r="Q32" s="30">
        <f t="shared" si="6"/>
      </c>
      <c r="R32" s="30">
        <f t="shared" si="7"/>
      </c>
      <c r="S32" s="30">
        <f t="shared" si="8"/>
      </c>
      <c r="T32" s="30">
        <f t="shared" si="9"/>
      </c>
      <c r="U32" s="30">
        <f t="shared" si="10"/>
      </c>
      <c r="V32" s="30">
        <f t="shared" si="11"/>
      </c>
      <c r="W32" s="30">
        <f t="shared" si="12"/>
      </c>
      <c r="X32" s="30">
        <f t="shared" si="13"/>
      </c>
      <c r="AA32" s="30">
        <f t="shared" si="14"/>
      </c>
      <c r="AB32" s="30">
        <f t="shared" si="15"/>
      </c>
      <c r="AC32" s="30">
        <f t="shared" si="16"/>
      </c>
      <c r="AD32" s="30">
        <f t="shared" si="17"/>
      </c>
      <c r="AE32" s="30">
        <f t="shared" si="18"/>
      </c>
      <c r="AF32" s="30">
        <f t="shared" si="19"/>
      </c>
      <c r="AG32" s="30">
        <f t="shared" si="20"/>
      </c>
      <c r="AH32" s="30">
        <f t="shared" si="21"/>
      </c>
      <c r="AI32" s="30">
        <f t="shared" si="22"/>
      </c>
      <c r="AJ32" s="30">
        <f t="shared" si="23"/>
      </c>
      <c r="AM32" s="30">
        <f t="shared" si="24"/>
      </c>
      <c r="AN32" s="30">
        <f t="shared" si="25"/>
      </c>
      <c r="AO32" s="30">
        <f t="shared" si="26"/>
      </c>
      <c r="AP32" s="30">
        <f t="shared" si="27"/>
      </c>
      <c r="AQ32" s="30">
        <f t="shared" si="28"/>
      </c>
      <c r="AR32" s="30">
        <f t="shared" si="29"/>
      </c>
      <c r="AS32" s="30">
        <f t="shared" si="30"/>
      </c>
      <c r="AT32" s="30">
        <f t="shared" si="31"/>
      </c>
      <c r="AU32" s="30">
        <f t="shared" si="32"/>
      </c>
      <c r="AV32" s="38">
        <f t="shared" si="33"/>
      </c>
      <c r="AW32" s="33">
        <f t="shared" si="34"/>
      </c>
      <c r="AX32" s="33">
        <f t="shared" si="35"/>
      </c>
      <c r="AY32" s="30">
        <f t="shared" si="2"/>
      </c>
      <c r="AZ32" s="30">
        <f t="shared" si="36"/>
      </c>
      <c r="BA32" s="30">
        <f t="shared" si="37"/>
      </c>
      <c r="BB32" s="30">
        <f t="shared" si="38"/>
      </c>
      <c r="BC32" s="30">
        <f t="shared" si="39"/>
      </c>
      <c r="BD32" s="30">
        <f t="shared" si="40"/>
      </c>
      <c r="BE32" s="30">
        <f t="shared" si="41"/>
      </c>
      <c r="BF32" s="30">
        <f t="shared" si="42"/>
      </c>
      <c r="BG32" s="30">
        <f t="shared" si="43"/>
      </c>
      <c r="BH32" s="38">
        <f t="shared" si="44"/>
      </c>
    </row>
    <row r="33" spans="1:60" ht="12.75">
      <c r="A33" s="1"/>
      <c r="B33" s="1">
        <f>IF(Calculator!E27="","",Calculator!E27)</f>
      </c>
      <c r="C33" s="4">
        <f>IF(OR(C$8&gt;NmE,$B33=""),"",cdf(SumBV-C$28*(BsVc1-$B33)))</f>
      </c>
      <c r="D33" s="4">
        <f t="shared" si="51"/>
      </c>
      <c r="E33" s="4">
        <f t="shared" si="51"/>
      </c>
      <c r="F33" s="4">
        <f t="shared" si="51"/>
      </c>
      <c r="G33" s="4">
        <f t="shared" si="51"/>
      </c>
      <c r="H33" s="4">
        <f t="shared" si="51"/>
      </c>
      <c r="I33" s="4">
        <f t="shared" si="51"/>
      </c>
      <c r="J33" s="4">
        <f t="shared" si="51"/>
      </c>
      <c r="K33" s="4">
        <f t="shared" si="51"/>
      </c>
      <c r="L33" s="4">
        <f>IF(OR(L$8&gt;NmE,$B33=""),"",cdf(SumBV-BVc1*(BsVc1-$B33)))</f>
      </c>
      <c r="O33" s="30">
        <f t="shared" si="4"/>
      </c>
      <c r="P33" s="30">
        <f t="shared" si="5"/>
      </c>
      <c r="Q33" s="30">
        <f t="shared" si="6"/>
      </c>
      <c r="R33" s="30">
        <f t="shared" si="7"/>
      </c>
      <c r="S33" s="30">
        <f t="shared" si="8"/>
      </c>
      <c r="T33" s="30">
        <f t="shared" si="9"/>
      </c>
      <c r="U33" s="30">
        <f t="shared" si="10"/>
      </c>
      <c r="V33" s="30">
        <f t="shared" si="11"/>
      </c>
      <c r="W33" s="30">
        <f t="shared" si="12"/>
      </c>
      <c r="X33" s="30">
        <f t="shared" si="13"/>
      </c>
      <c r="AA33" s="30">
        <f t="shared" si="14"/>
      </c>
      <c r="AB33" s="30">
        <f t="shared" si="15"/>
      </c>
      <c r="AC33" s="30">
        <f t="shared" si="16"/>
      </c>
      <c r="AD33" s="30">
        <f t="shared" si="17"/>
      </c>
      <c r="AE33" s="30">
        <f t="shared" si="18"/>
      </c>
      <c r="AF33" s="30">
        <f t="shared" si="19"/>
      </c>
      <c r="AG33" s="30">
        <f t="shared" si="20"/>
      </c>
      <c r="AH33" s="30">
        <f t="shared" si="21"/>
      </c>
      <c r="AI33" s="30">
        <f t="shared" si="22"/>
      </c>
      <c r="AJ33" s="30">
        <f t="shared" si="23"/>
      </c>
      <c r="AM33" s="30">
        <f t="shared" si="24"/>
      </c>
      <c r="AN33" s="30">
        <f t="shared" si="25"/>
      </c>
      <c r="AO33" s="30">
        <f t="shared" si="26"/>
      </c>
      <c r="AP33" s="30">
        <f t="shared" si="27"/>
      </c>
      <c r="AQ33" s="30">
        <f t="shared" si="28"/>
      </c>
      <c r="AR33" s="30">
        <f t="shared" si="29"/>
      </c>
      <c r="AS33" s="30">
        <f t="shared" si="30"/>
      </c>
      <c r="AT33" s="30">
        <f t="shared" si="31"/>
      </c>
      <c r="AU33" s="30">
        <f t="shared" si="32"/>
      </c>
      <c r="AV33" s="38">
        <f t="shared" si="33"/>
      </c>
      <c r="AW33" s="33">
        <f t="shared" si="34"/>
      </c>
      <c r="AX33" s="33">
        <f t="shared" si="35"/>
      </c>
      <c r="AY33" s="30">
        <f t="shared" si="2"/>
      </c>
      <c r="AZ33" s="30">
        <f t="shared" si="36"/>
      </c>
      <c r="BA33" s="30">
        <f t="shared" si="37"/>
      </c>
      <c r="BB33" s="30">
        <f t="shared" si="38"/>
      </c>
      <c r="BC33" s="30">
        <f t="shared" si="39"/>
      </c>
      <c r="BD33" s="30">
        <f t="shared" si="40"/>
      </c>
      <c r="BE33" s="30">
        <f t="shared" si="41"/>
      </c>
      <c r="BF33" s="30">
        <f t="shared" si="42"/>
      </c>
      <c r="BG33" s="30">
        <f t="shared" si="43"/>
      </c>
      <c r="BH33" s="38">
        <f t="shared" si="44"/>
      </c>
    </row>
    <row r="34" spans="1:60" ht="12.75">
      <c r="A34" s="2"/>
      <c r="B34" s="1">
        <f>IF(Calculator!E28="","",Calculator!E28)</f>
      </c>
      <c r="C34" s="4">
        <f>IF(OR(C$8&gt;NmE,$B34=""),"",cdf(SumBV-C$28*(BsVc1-$B34)))</f>
      </c>
      <c r="D34" s="4">
        <f t="shared" si="51"/>
      </c>
      <c r="E34" s="4">
        <f t="shared" si="51"/>
      </c>
      <c r="F34" s="4">
        <f t="shared" si="51"/>
      </c>
      <c r="G34" s="4">
        <f t="shared" si="51"/>
      </c>
      <c r="H34" s="4">
        <f t="shared" si="51"/>
      </c>
      <c r="I34" s="4">
        <f t="shared" si="51"/>
      </c>
      <c r="J34" s="4">
        <f t="shared" si="51"/>
      </c>
      <c r="K34" s="4">
        <f t="shared" si="51"/>
      </c>
      <c r="L34" s="4">
        <f>IF(OR(L$8&gt;NmE,$B34=""),"",cdf(SumBV-BVc1*(BsVc1-$B34)))</f>
      </c>
      <c r="O34" s="30">
        <f t="shared" si="4"/>
      </c>
      <c r="P34" s="30">
        <f t="shared" si="5"/>
      </c>
      <c r="Q34" s="30">
        <f t="shared" si="6"/>
      </c>
      <c r="R34" s="30">
        <f t="shared" si="7"/>
      </c>
      <c r="S34" s="30">
        <f t="shared" si="8"/>
      </c>
      <c r="T34" s="30">
        <f t="shared" si="9"/>
      </c>
      <c r="U34" s="30">
        <f t="shared" si="10"/>
      </c>
      <c r="V34" s="30">
        <f t="shared" si="11"/>
      </c>
      <c r="W34" s="30">
        <f t="shared" si="12"/>
      </c>
      <c r="X34" s="30">
        <f t="shared" si="13"/>
      </c>
      <c r="AA34" s="30">
        <f t="shared" si="14"/>
      </c>
      <c r="AB34" s="30">
        <f t="shared" si="15"/>
      </c>
      <c r="AC34" s="30">
        <f t="shared" si="16"/>
      </c>
      <c r="AD34" s="30">
        <f t="shared" si="17"/>
      </c>
      <c r="AE34" s="30">
        <f t="shared" si="18"/>
      </c>
      <c r="AF34" s="30">
        <f t="shared" si="19"/>
      </c>
      <c r="AG34" s="30">
        <f t="shared" si="20"/>
      </c>
      <c r="AH34" s="30">
        <f t="shared" si="21"/>
      </c>
      <c r="AI34" s="30">
        <f t="shared" si="22"/>
      </c>
      <c r="AJ34" s="30">
        <f t="shared" si="23"/>
      </c>
      <c r="AM34" s="30">
        <f t="shared" si="24"/>
      </c>
      <c r="AN34" s="30">
        <f t="shared" si="25"/>
      </c>
      <c r="AO34" s="30">
        <f t="shared" si="26"/>
      </c>
      <c r="AP34" s="30">
        <f t="shared" si="27"/>
      </c>
      <c r="AQ34" s="30">
        <f t="shared" si="28"/>
      </c>
      <c r="AR34" s="30">
        <f t="shared" si="29"/>
      </c>
      <c r="AS34" s="30">
        <f t="shared" si="30"/>
      </c>
      <c r="AT34" s="30">
        <f t="shared" si="31"/>
      </c>
      <c r="AU34" s="30">
        <f t="shared" si="32"/>
      </c>
      <c r="AV34" s="38">
        <f t="shared" si="33"/>
      </c>
      <c r="AW34" s="33">
        <f t="shared" si="34"/>
      </c>
      <c r="AX34" s="33">
        <f t="shared" si="35"/>
      </c>
      <c r="AY34" s="30">
        <f t="shared" si="2"/>
      </c>
      <c r="AZ34" s="30">
        <f t="shared" si="36"/>
      </c>
      <c r="BA34" s="30">
        <f t="shared" si="37"/>
      </c>
      <c r="BB34" s="30">
        <f t="shared" si="38"/>
      </c>
      <c r="BC34" s="30">
        <f t="shared" si="39"/>
      </c>
      <c r="BD34" s="30">
        <f t="shared" si="40"/>
      </c>
      <c r="BE34" s="30">
        <f t="shared" si="41"/>
      </c>
      <c r="BF34" s="30">
        <f t="shared" si="42"/>
      </c>
      <c r="BG34" s="30">
        <f t="shared" si="43"/>
      </c>
      <c r="BH34" s="38">
        <f t="shared" si="44"/>
      </c>
    </row>
    <row r="35" spans="1:60" ht="12.75">
      <c r="A35" s="2"/>
      <c r="B35" s="2" t="s">
        <v>45</v>
      </c>
      <c r="C35" s="4"/>
      <c r="D35" s="4"/>
      <c r="E35" s="4"/>
      <c r="F35" s="4"/>
      <c r="G35" s="4"/>
      <c r="H35" s="4"/>
      <c r="I35" s="4"/>
      <c r="J35" s="4"/>
      <c r="K35" s="4"/>
      <c r="L35" s="4"/>
      <c r="O35" s="30">
        <f t="shared" si="4"/>
      </c>
      <c r="P35" s="30">
        <f t="shared" si="5"/>
      </c>
      <c r="Q35" s="30">
        <f t="shared" si="6"/>
      </c>
      <c r="R35" s="30">
        <f t="shared" si="7"/>
      </c>
      <c r="S35" s="30">
        <f t="shared" si="8"/>
      </c>
      <c r="T35" s="30">
        <f t="shared" si="9"/>
      </c>
      <c r="U35" s="30">
        <f t="shared" si="10"/>
      </c>
      <c r="V35" s="30">
        <f t="shared" si="11"/>
      </c>
      <c r="W35" s="30">
        <f t="shared" si="12"/>
      </c>
      <c r="X35" s="30">
        <f t="shared" si="13"/>
      </c>
      <c r="AA35" s="30">
        <f t="shared" si="14"/>
      </c>
      <c r="AB35" s="30">
        <f t="shared" si="15"/>
      </c>
      <c r="AC35" s="30">
        <f t="shared" si="16"/>
      </c>
      <c r="AD35" s="30">
        <f t="shared" si="17"/>
      </c>
      <c r="AE35" s="30">
        <f t="shared" si="18"/>
      </c>
      <c r="AF35" s="30">
        <f t="shared" si="19"/>
      </c>
      <c r="AG35" s="30">
        <f t="shared" si="20"/>
      </c>
      <c r="AH35" s="30">
        <f t="shared" si="21"/>
      </c>
      <c r="AI35" s="30">
        <f t="shared" si="22"/>
      </c>
      <c r="AJ35" s="30">
        <f t="shared" si="23"/>
      </c>
      <c r="AM35" s="30">
        <f t="shared" si="24"/>
      </c>
      <c r="AN35" s="30">
        <f t="shared" si="25"/>
      </c>
      <c r="AO35" s="30">
        <f t="shared" si="26"/>
      </c>
      <c r="AP35" s="30">
        <f t="shared" si="27"/>
      </c>
      <c r="AQ35" s="30">
        <f t="shared" si="28"/>
      </c>
      <c r="AR35" s="30">
        <f t="shared" si="29"/>
      </c>
      <c r="AS35" s="30">
        <f t="shared" si="30"/>
      </c>
      <c r="AT35" s="30">
        <f t="shared" si="31"/>
      </c>
      <c r="AU35" s="30">
        <f t="shared" si="32"/>
      </c>
      <c r="AV35" s="38">
        <f t="shared" si="33"/>
      </c>
      <c r="AW35" s="33">
        <f t="shared" si="34"/>
      </c>
      <c r="AX35" s="33">
        <f t="shared" si="35"/>
      </c>
      <c r="AY35" s="30">
        <f t="shared" si="2"/>
      </c>
      <c r="AZ35" s="30">
        <f t="shared" si="36"/>
      </c>
      <c r="BA35" s="30">
        <f t="shared" si="37"/>
      </c>
      <c r="BB35" s="30">
        <f t="shared" si="38"/>
      </c>
      <c r="BC35" s="30">
        <f t="shared" si="39"/>
      </c>
      <c r="BD35" s="30">
        <f t="shared" si="40"/>
      </c>
      <c r="BE35" s="30">
        <f t="shared" si="41"/>
      </c>
      <c r="BF35" s="30">
        <f t="shared" si="42"/>
      </c>
      <c r="BG35" s="30">
        <f t="shared" si="43"/>
      </c>
      <c r="BH35" s="38">
        <f t="shared" si="44"/>
      </c>
    </row>
    <row r="36" spans="1:60" ht="12.75">
      <c r="A36" s="2"/>
      <c r="B36" s="2"/>
      <c r="C36" s="4">
        <f>IF(C30="","",1-C30)</f>
        <v>0.15313392758750743</v>
      </c>
      <c r="D36" s="22">
        <f>IF(D30="",C30,C30-D30)</f>
        <v>0.34057242108319474</v>
      </c>
      <c r="E36" s="22">
        <f aca="true" t="shared" si="52" ref="E36:L36">IF(E30="",D30,D30-E30)</f>
        <v>0.364084462914384</v>
      </c>
      <c r="F36" s="22">
        <f t="shared" si="52"/>
        <v>0.14220918841491378</v>
      </c>
      <c r="G36" s="22">
        <f t="shared" si="52"/>
      </c>
      <c r="H36" s="22">
        <f t="shared" si="52"/>
      </c>
      <c r="I36" s="22">
        <f t="shared" si="52"/>
      </c>
      <c r="J36" s="22">
        <f t="shared" si="52"/>
      </c>
      <c r="K36" s="22">
        <f t="shared" si="52"/>
      </c>
      <c r="L36" s="22">
        <f t="shared" si="52"/>
      </c>
      <c r="O36" s="30">
        <f t="shared" si="4"/>
      </c>
      <c r="P36" s="30">
        <f t="shared" si="5"/>
      </c>
      <c r="Q36" s="30">
        <f t="shared" si="6"/>
      </c>
      <c r="R36" s="30">
        <f t="shared" si="7"/>
      </c>
      <c r="S36" s="30">
        <f t="shared" si="8"/>
      </c>
      <c r="T36" s="30">
        <f t="shared" si="9"/>
      </c>
      <c r="U36" s="30">
        <f t="shared" si="10"/>
      </c>
      <c r="V36" s="30">
        <f t="shared" si="11"/>
      </c>
      <c r="W36" s="30">
        <f t="shared" si="12"/>
      </c>
      <c r="X36" s="30">
        <f t="shared" si="13"/>
      </c>
      <c r="AA36" s="30">
        <f t="shared" si="14"/>
      </c>
      <c r="AB36" s="30">
        <f t="shared" si="15"/>
      </c>
      <c r="AC36" s="30">
        <f t="shared" si="16"/>
      </c>
      <c r="AD36" s="30">
        <f t="shared" si="17"/>
      </c>
      <c r="AE36" s="30">
        <f t="shared" si="18"/>
      </c>
      <c r="AF36" s="30">
        <f t="shared" si="19"/>
      </c>
      <c r="AG36" s="30">
        <f t="shared" si="20"/>
      </c>
      <c r="AH36" s="30">
        <f t="shared" si="21"/>
      </c>
      <c r="AI36" s="30">
        <f t="shared" si="22"/>
      </c>
      <c r="AJ36" s="30">
        <f t="shared" si="23"/>
      </c>
      <c r="AM36" s="30">
        <f t="shared" si="24"/>
      </c>
      <c r="AN36" s="30">
        <f t="shared" si="25"/>
      </c>
      <c r="AO36" s="30">
        <f t="shared" si="26"/>
      </c>
      <c r="AP36" s="30">
        <f t="shared" si="27"/>
      </c>
      <c r="AQ36" s="30">
        <f t="shared" si="28"/>
      </c>
      <c r="AR36" s="30">
        <f t="shared" si="29"/>
      </c>
      <c r="AS36" s="30">
        <f t="shared" si="30"/>
      </c>
      <c r="AT36" s="30">
        <f t="shared" si="31"/>
      </c>
      <c r="AU36" s="30">
        <f t="shared" si="32"/>
      </c>
      <c r="AV36" s="38">
        <f t="shared" si="33"/>
      </c>
      <c r="AW36" s="33">
        <f t="shared" si="34"/>
      </c>
      <c r="AX36" s="33">
        <f t="shared" si="35"/>
      </c>
      <c r="AY36" s="30">
        <f t="shared" si="2"/>
      </c>
      <c r="AZ36" s="30">
        <f t="shared" si="36"/>
      </c>
      <c r="BA36" s="30">
        <f t="shared" si="37"/>
      </c>
      <c r="BB36" s="30">
        <f t="shared" si="38"/>
      </c>
      <c r="BC36" s="30">
        <f t="shared" si="39"/>
      </c>
      <c r="BD36" s="30">
        <f t="shared" si="40"/>
      </c>
      <c r="BE36" s="30">
        <f t="shared" si="41"/>
      </c>
      <c r="BF36" s="30">
        <f t="shared" si="42"/>
      </c>
      <c r="BG36" s="30">
        <f t="shared" si="43"/>
      </c>
      <c r="BH36" s="38">
        <f t="shared" si="44"/>
      </c>
    </row>
    <row r="37" spans="1:60" ht="12.75">
      <c r="A37" s="2"/>
      <c r="B37" s="2"/>
      <c r="C37" s="4">
        <f>IF(C31="","",1-C31)</f>
        <v>0.06501091479021426</v>
      </c>
      <c r="D37" s="22">
        <f aca="true" t="shared" si="53" ref="D37:L37">IF(D31="",C31,C31-D31)</f>
        <v>0.2981787590119752</v>
      </c>
      <c r="E37" s="22">
        <f t="shared" si="53"/>
        <v>0.4492350049857293</v>
      </c>
      <c r="F37" s="22">
        <f t="shared" si="53"/>
        <v>0.18757532121208123</v>
      </c>
      <c r="G37" s="22">
        <f t="shared" si="53"/>
      </c>
      <c r="H37" s="22">
        <f t="shared" si="53"/>
      </c>
      <c r="I37" s="22">
        <f t="shared" si="53"/>
      </c>
      <c r="J37" s="22">
        <f t="shared" si="53"/>
      </c>
      <c r="K37" s="22">
        <f t="shared" si="53"/>
      </c>
      <c r="L37" s="22">
        <f t="shared" si="53"/>
      </c>
      <c r="O37" s="30">
        <f t="shared" si="4"/>
      </c>
      <c r="P37" s="30">
        <f t="shared" si="5"/>
      </c>
      <c r="Q37" s="30">
        <f t="shared" si="6"/>
      </c>
      <c r="R37" s="30">
        <f t="shared" si="7"/>
      </c>
      <c r="S37" s="30">
        <f t="shared" si="8"/>
      </c>
      <c r="T37" s="30">
        <f t="shared" si="9"/>
      </c>
      <c r="U37" s="30">
        <f t="shared" si="10"/>
      </c>
      <c r="V37" s="30">
        <f t="shared" si="11"/>
      </c>
      <c r="W37" s="30">
        <f t="shared" si="12"/>
      </c>
      <c r="X37" s="30">
        <f t="shared" si="13"/>
      </c>
      <c r="AA37" s="30">
        <f t="shared" si="14"/>
      </c>
      <c r="AB37" s="30">
        <f t="shared" si="15"/>
      </c>
      <c r="AC37" s="30">
        <f t="shared" si="16"/>
      </c>
      <c r="AD37" s="30">
        <f t="shared" si="17"/>
      </c>
      <c r="AE37" s="30">
        <f t="shared" si="18"/>
      </c>
      <c r="AF37" s="30">
        <f t="shared" si="19"/>
      </c>
      <c r="AG37" s="30">
        <f t="shared" si="20"/>
      </c>
      <c r="AH37" s="30">
        <f t="shared" si="21"/>
      </c>
      <c r="AI37" s="30">
        <f t="shared" si="22"/>
      </c>
      <c r="AJ37" s="30">
        <f t="shared" si="23"/>
      </c>
      <c r="AM37" s="30">
        <f t="shared" si="24"/>
      </c>
      <c r="AN37" s="30">
        <f t="shared" si="25"/>
      </c>
      <c r="AO37" s="30">
        <f t="shared" si="26"/>
      </c>
      <c r="AP37" s="30">
        <f t="shared" si="27"/>
      </c>
      <c r="AQ37" s="30">
        <f t="shared" si="28"/>
      </c>
      <c r="AR37" s="30">
        <f t="shared" si="29"/>
      </c>
      <c r="AS37" s="30">
        <f t="shared" si="30"/>
      </c>
      <c r="AT37" s="30">
        <f t="shared" si="31"/>
      </c>
      <c r="AU37" s="30">
        <f t="shared" si="32"/>
      </c>
      <c r="AV37" s="38">
        <f t="shared" si="33"/>
      </c>
      <c r="AW37" s="33">
        <f t="shared" si="34"/>
      </c>
      <c r="AX37" s="33">
        <f t="shared" si="35"/>
      </c>
      <c r="AY37" s="30">
        <f t="shared" si="2"/>
      </c>
      <c r="AZ37" s="30">
        <f t="shared" si="36"/>
      </c>
      <c r="BA37" s="30">
        <f t="shared" si="37"/>
      </c>
      <c r="BB37" s="30">
        <f t="shared" si="38"/>
      </c>
      <c r="BC37" s="30">
        <f t="shared" si="39"/>
      </c>
      <c r="BD37" s="30">
        <f t="shared" si="40"/>
      </c>
      <c r="BE37" s="30">
        <f t="shared" si="41"/>
      </c>
      <c r="BF37" s="30">
        <f t="shared" si="42"/>
      </c>
      <c r="BG37" s="30">
        <f t="shared" si="43"/>
      </c>
      <c r="BH37" s="38">
        <f t="shared" si="44"/>
      </c>
    </row>
    <row r="38" spans="1:60" ht="12.75">
      <c r="A38" s="2"/>
      <c r="B38" s="2"/>
      <c r="C38" s="4">
        <f>IF(C32="","",1-C32)</f>
      </c>
      <c r="D38" s="22">
        <f aca="true" t="shared" si="54" ref="D38:L38">IF(D32="",C32,C32-D32)</f>
      </c>
      <c r="E38" s="22">
        <f t="shared" si="54"/>
      </c>
      <c r="F38" s="22">
        <f t="shared" si="54"/>
      </c>
      <c r="G38" s="22">
        <f t="shared" si="54"/>
      </c>
      <c r="H38" s="22">
        <f t="shared" si="54"/>
      </c>
      <c r="I38" s="22">
        <f t="shared" si="54"/>
      </c>
      <c r="J38" s="22">
        <f t="shared" si="54"/>
      </c>
      <c r="K38" s="22">
        <f t="shared" si="54"/>
      </c>
      <c r="L38" s="22">
        <f t="shared" si="54"/>
      </c>
      <c r="O38" s="30">
        <f t="shared" si="4"/>
      </c>
      <c r="P38" s="30">
        <f t="shared" si="5"/>
      </c>
      <c r="Q38" s="30">
        <f t="shared" si="6"/>
      </c>
      <c r="R38" s="30">
        <f t="shared" si="7"/>
      </c>
      <c r="S38" s="30">
        <f t="shared" si="8"/>
      </c>
      <c r="T38" s="30">
        <f t="shared" si="9"/>
      </c>
      <c r="U38" s="30">
        <f t="shared" si="10"/>
      </c>
      <c r="V38" s="30">
        <f t="shared" si="11"/>
      </c>
      <c r="W38" s="30">
        <f t="shared" si="12"/>
      </c>
      <c r="X38" s="30">
        <f t="shared" si="13"/>
      </c>
      <c r="AA38" s="30">
        <f t="shared" si="14"/>
      </c>
      <c r="AB38" s="30">
        <f t="shared" si="15"/>
      </c>
      <c r="AC38" s="30">
        <f t="shared" si="16"/>
      </c>
      <c r="AD38" s="30">
        <f t="shared" si="17"/>
      </c>
      <c r="AE38" s="30">
        <f t="shared" si="18"/>
      </c>
      <c r="AF38" s="30">
        <f t="shared" si="19"/>
      </c>
      <c r="AG38" s="30">
        <f t="shared" si="20"/>
      </c>
      <c r="AH38" s="30">
        <f t="shared" si="21"/>
      </c>
      <c r="AI38" s="30">
        <f t="shared" si="22"/>
      </c>
      <c r="AJ38" s="30">
        <f t="shared" si="23"/>
      </c>
      <c r="AM38" s="30">
        <f t="shared" si="24"/>
      </c>
      <c r="AN38" s="30">
        <f t="shared" si="25"/>
      </c>
      <c r="AO38" s="30">
        <f t="shared" si="26"/>
      </c>
      <c r="AP38" s="30">
        <f t="shared" si="27"/>
      </c>
      <c r="AQ38" s="30">
        <f t="shared" si="28"/>
      </c>
      <c r="AR38" s="30">
        <f t="shared" si="29"/>
      </c>
      <c r="AS38" s="30">
        <f t="shared" si="30"/>
      </c>
      <c r="AT38" s="30">
        <f t="shared" si="31"/>
      </c>
      <c r="AU38" s="30">
        <f t="shared" si="32"/>
      </c>
      <c r="AV38" s="38">
        <f t="shared" si="33"/>
      </c>
      <c r="AW38" s="33">
        <f t="shared" si="34"/>
      </c>
      <c r="AX38" s="33">
        <f t="shared" si="35"/>
      </c>
      <c r="AY38" s="30">
        <f t="shared" si="2"/>
      </c>
      <c r="AZ38" s="30">
        <f t="shared" si="36"/>
      </c>
      <c r="BA38" s="30">
        <f t="shared" si="37"/>
      </c>
      <c r="BB38" s="30">
        <f t="shared" si="38"/>
      </c>
      <c r="BC38" s="30">
        <f t="shared" si="39"/>
      </c>
      <c r="BD38" s="30">
        <f t="shared" si="40"/>
      </c>
      <c r="BE38" s="30">
        <f t="shared" si="41"/>
      </c>
      <c r="BF38" s="30">
        <f t="shared" si="42"/>
      </c>
      <c r="BG38" s="30">
        <f t="shared" si="43"/>
      </c>
      <c r="BH38" s="38">
        <f t="shared" si="44"/>
      </c>
    </row>
    <row r="39" spans="1:60" ht="12.75">
      <c r="A39" s="2"/>
      <c r="B39" s="2"/>
      <c r="C39" s="4">
        <f>IF(C33="","",1-C33)</f>
      </c>
      <c r="D39" s="22">
        <f aca="true" t="shared" si="55" ref="D39:L39">IF(D33="",C33,C33-D33)</f>
      </c>
      <c r="E39" s="22">
        <f t="shared" si="55"/>
      </c>
      <c r="F39" s="22">
        <f t="shared" si="55"/>
      </c>
      <c r="G39" s="22">
        <f t="shared" si="55"/>
      </c>
      <c r="H39" s="22">
        <f t="shared" si="55"/>
      </c>
      <c r="I39" s="22">
        <f t="shared" si="55"/>
      </c>
      <c r="J39" s="22">
        <f t="shared" si="55"/>
      </c>
      <c r="K39" s="22">
        <f t="shared" si="55"/>
      </c>
      <c r="L39" s="22">
        <f t="shared" si="55"/>
      </c>
      <c r="O39" s="30">
        <f t="shared" si="4"/>
      </c>
      <c r="P39" s="30">
        <f t="shared" si="5"/>
      </c>
      <c r="Q39" s="30">
        <f t="shared" si="6"/>
      </c>
      <c r="R39" s="30">
        <f t="shared" si="7"/>
      </c>
      <c r="S39" s="30">
        <f t="shared" si="8"/>
      </c>
      <c r="T39" s="30">
        <f t="shared" si="9"/>
      </c>
      <c r="U39" s="30">
        <f t="shared" si="10"/>
      </c>
      <c r="V39" s="30">
        <f t="shared" si="11"/>
      </c>
      <c r="W39" s="30">
        <f t="shared" si="12"/>
      </c>
      <c r="X39" s="30">
        <f t="shared" si="13"/>
      </c>
      <c r="AA39" s="30">
        <f t="shared" si="14"/>
      </c>
      <c r="AB39" s="30">
        <f t="shared" si="15"/>
      </c>
      <c r="AC39" s="30">
        <f t="shared" si="16"/>
      </c>
      <c r="AD39" s="30">
        <f t="shared" si="17"/>
      </c>
      <c r="AE39" s="30">
        <f t="shared" si="18"/>
      </c>
      <c r="AF39" s="30">
        <f t="shared" si="19"/>
      </c>
      <c r="AG39" s="30">
        <f t="shared" si="20"/>
      </c>
      <c r="AH39" s="30">
        <f t="shared" si="21"/>
      </c>
      <c r="AI39" s="30">
        <f t="shared" si="22"/>
      </c>
      <c r="AJ39" s="30">
        <f t="shared" si="23"/>
      </c>
      <c r="AM39" s="30">
        <f t="shared" si="24"/>
      </c>
      <c r="AN39" s="30">
        <f t="shared" si="25"/>
      </c>
      <c r="AO39" s="30">
        <f t="shared" si="26"/>
      </c>
      <c r="AP39" s="30">
        <f t="shared" si="27"/>
      </c>
      <c r="AQ39" s="30">
        <f t="shared" si="28"/>
      </c>
      <c r="AR39" s="30">
        <f t="shared" si="29"/>
      </c>
      <c r="AS39" s="30">
        <f t="shared" si="30"/>
      </c>
      <c r="AT39" s="30">
        <f t="shared" si="31"/>
      </c>
      <c r="AU39" s="30">
        <f t="shared" si="32"/>
      </c>
      <c r="AV39" s="38">
        <f t="shared" si="33"/>
      </c>
      <c r="AW39" s="33">
        <f t="shared" si="34"/>
      </c>
      <c r="AX39" s="33">
        <f t="shared" si="35"/>
      </c>
      <c r="AY39" s="30">
        <f t="shared" si="2"/>
      </c>
      <c r="AZ39" s="30">
        <f t="shared" si="36"/>
      </c>
      <c r="BA39" s="30">
        <f t="shared" si="37"/>
      </c>
      <c r="BB39" s="30">
        <f t="shared" si="38"/>
      </c>
      <c r="BC39" s="30">
        <f t="shared" si="39"/>
      </c>
      <c r="BD39" s="30">
        <f t="shared" si="40"/>
      </c>
      <c r="BE39" s="30">
        <f t="shared" si="41"/>
      </c>
      <c r="BF39" s="30">
        <f t="shared" si="42"/>
      </c>
      <c r="BG39" s="30">
        <f t="shared" si="43"/>
      </c>
      <c r="BH39" s="38">
        <f t="shared" si="44"/>
      </c>
    </row>
    <row r="40" spans="1:60" ht="12.75">
      <c r="A40" s="2"/>
      <c r="B40" s="8"/>
      <c r="C40" s="36">
        <f>IF(C34="","",1-C34)</f>
      </c>
      <c r="D40" s="21">
        <f aca="true" t="shared" si="56" ref="D40:L40">IF(D34="",C34,C34-D34)</f>
      </c>
      <c r="E40" s="21">
        <f t="shared" si="56"/>
      </c>
      <c r="F40" s="21">
        <f t="shared" si="56"/>
      </c>
      <c r="G40" s="21">
        <f t="shared" si="56"/>
      </c>
      <c r="H40" s="21">
        <f t="shared" si="56"/>
      </c>
      <c r="I40" s="21">
        <f t="shared" si="56"/>
      </c>
      <c r="J40" s="21">
        <f t="shared" si="56"/>
      </c>
      <c r="K40" s="21">
        <f t="shared" si="56"/>
      </c>
      <c r="L40" s="21">
        <f t="shared" si="56"/>
      </c>
      <c r="O40" s="30">
        <f t="shared" si="4"/>
      </c>
      <c r="P40" s="30">
        <f t="shared" si="5"/>
      </c>
      <c r="Q40" s="30">
        <f t="shared" si="6"/>
      </c>
      <c r="R40" s="30">
        <f t="shared" si="7"/>
      </c>
      <c r="S40" s="30">
        <f t="shared" si="8"/>
      </c>
      <c r="T40" s="30">
        <f t="shared" si="9"/>
      </c>
      <c r="U40" s="30">
        <f t="shared" si="10"/>
      </c>
      <c r="V40" s="30">
        <f t="shared" si="11"/>
      </c>
      <c r="W40" s="30">
        <f t="shared" si="12"/>
      </c>
      <c r="X40" s="30">
        <f t="shared" si="13"/>
      </c>
      <c r="AA40" s="30">
        <f t="shared" si="14"/>
      </c>
      <c r="AB40" s="30">
        <f t="shared" si="15"/>
      </c>
      <c r="AC40" s="30">
        <f t="shared" si="16"/>
      </c>
      <c r="AD40" s="30">
        <f t="shared" si="17"/>
      </c>
      <c r="AE40" s="30">
        <f t="shared" si="18"/>
      </c>
      <c r="AF40" s="30">
        <f t="shared" si="19"/>
      </c>
      <c r="AG40" s="30">
        <f t="shared" si="20"/>
      </c>
      <c r="AH40" s="30">
        <f t="shared" si="21"/>
      </c>
      <c r="AI40" s="30">
        <f t="shared" si="22"/>
      </c>
      <c r="AJ40" s="30">
        <f t="shared" si="23"/>
      </c>
      <c r="AM40" s="30">
        <f t="shared" si="24"/>
      </c>
      <c r="AN40" s="30">
        <f t="shared" si="25"/>
      </c>
      <c r="AO40" s="30">
        <f t="shared" si="26"/>
      </c>
      <c r="AP40" s="30">
        <f t="shared" si="27"/>
      </c>
      <c r="AQ40" s="30">
        <f t="shared" si="28"/>
      </c>
      <c r="AR40" s="30">
        <f t="shared" si="29"/>
      </c>
      <c r="AS40" s="30">
        <f t="shared" si="30"/>
      </c>
      <c r="AT40" s="30">
        <f t="shared" si="31"/>
      </c>
      <c r="AU40" s="30">
        <f t="shared" si="32"/>
      </c>
      <c r="AV40" s="38">
        <f t="shared" si="33"/>
      </c>
      <c r="AW40" s="33">
        <f t="shared" si="34"/>
      </c>
      <c r="AX40" s="33">
        <f t="shared" si="35"/>
      </c>
      <c r="AY40" s="30">
        <f t="shared" si="2"/>
      </c>
      <c r="AZ40" s="30">
        <f t="shared" si="36"/>
      </c>
      <c r="BA40" s="30">
        <f t="shared" si="37"/>
      </c>
      <c r="BB40" s="30">
        <f t="shared" si="38"/>
      </c>
      <c r="BC40" s="30">
        <f t="shared" si="39"/>
      </c>
      <c r="BD40" s="30">
        <f t="shared" si="40"/>
      </c>
      <c r="BE40" s="30">
        <f t="shared" si="41"/>
      </c>
      <c r="BF40" s="30">
        <f t="shared" si="42"/>
      </c>
      <c r="BG40" s="30">
        <f t="shared" si="43"/>
      </c>
      <c r="BH40" s="38">
        <f t="shared" si="44"/>
      </c>
    </row>
    <row r="41" spans="1:60" ht="12.75">
      <c r="A41" s="2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O41" s="30">
        <f t="shared" si="4"/>
      </c>
      <c r="P41" s="30">
        <f t="shared" si="5"/>
      </c>
      <c r="Q41" s="30">
        <f t="shared" si="6"/>
      </c>
      <c r="R41" s="30">
        <f t="shared" si="7"/>
      </c>
      <c r="S41" s="30">
        <f t="shared" si="8"/>
      </c>
      <c r="T41" s="30">
        <f t="shared" si="9"/>
      </c>
      <c r="U41" s="30">
        <f t="shared" si="10"/>
      </c>
      <c r="V41" s="30">
        <f t="shared" si="11"/>
      </c>
      <c r="W41" s="30">
        <f t="shared" si="12"/>
      </c>
      <c r="X41" s="30">
        <f t="shared" si="13"/>
      </c>
      <c r="AA41" s="30">
        <f t="shared" si="14"/>
      </c>
      <c r="AB41" s="30">
        <f t="shared" si="15"/>
      </c>
      <c r="AC41" s="30">
        <f t="shared" si="16"/>
      </c>
      <c r="AD41" s="30">
        <f t="shared" si="17"/>
      </c>
      <c r="AE41" s="30">
        <f t="shared" si="18"/>
      </c>
      <c r="AF41" s="30">
        <f t="shared" si="19"/>
      </c>
      <c r="AG41" s="30">
        <f t="shared" si="20"/>
      </c>
      <c r="AH41" s="30">
        <f t="shared" si="21"/>
      </c>
      <c r="AI41" s="30">
        <f t="shared" si="22"/>
      </c>
      <c r="AJ41" s="30">
        <f t="shared" si="23"/>
      </c>
      <c r="AM41" s="30">
        <f t="shared" si="24"/>
      </c>
      <c r="AN41" s="30">
        <f t="shared" si="25"/>
      </c>
      <c r="AO41" s="30">
        <f t="shared" si="26"/>
      </c>
      <c r="AP41" s="30">
        <f t="shared" si="27"/>
      </c>
      <c r="AQ41" s="30">
        <f t="shared" si="28"/>
      </c>
      <c r="AR41" s="30">
        <f t="shared" si="29"/>
      </c>
      <c r="AS41" s="30">
        <f t="shared" si="30"/>
      </c>
      <c r="AT41" s="30">
        <f t="shared" si="31"/>
      </c>
      <c r="AU41" s="30">
        <f t="shared" si="32"/>
      </c>
      <c r="AV41" s="38">
        <f t="shared" si="33"/>
      </c>
      <c r="AW41" s="33">
        <f t="shared" si="34"/>
      </c>
      <c r="AX41" s="33">
        <f t="shared" si="35"/>
      </c>
      <c r="AY41" s="30">
        <f t="shared" si="2"/>
      </c>
      <c r="AZ41" s="30">
        <f t="shared" si="36"/>
      </c>
      <c r="BA41" s="30">
        <f t="shared" si="37"/>
      </c>
      <c r="BB41" s="30">
        <f t="shared" si="38"/>
      </c>
      <c r="BC41" s="30">
        <f t="shared" si="39"/>
      </c>
      <c r="BD41" s="30">
        <f t="shared" si="40"/>
      </c>
      <c r="BE41" s="30">
        <f t="shared" si="41"/>
      </c>
      <c r="BF41" s="30">
        <f t="shared" si="42"/>
      </c>
      <c r="BG41" s="30">
        <f t="shared" si="43"/>
      </c>
      <c r="BH41" s="38">
        <f t="shared" si="44"/>
      </c>
    </row>
    <row r="42" spans="1:60" ht="12.75">
      <c r="A42" s="2"/>
      <c r="B42" s="2" t="s">
        <v>46</v>
      </c>
      <c r="C42" s="4">
        <f ca="1">INDIRECT(ADDRESS(Chorder2,12,1,,"Input"))</f>
        <v>-0.5287267</v>
      </c>
      <c r="D42" s="4">
        <f aca="true" ca="1" t="shared" si="57" ref="D42:K42">IF(D$8&gt;NmE,"",INDIRECT(ADDRESS(Chorder2,11+D$8,1,,"Input")))</f>
        <v>-0.3492339</v>
      </c>
      <c r="E42" s="4">
        <f ca="1" t="shared" si="57"/>
        <v>-0.3775375</v>
      </c>
      <c r="F42" s="4">
        <f ca="1" t="shared" si="57"/>
      </c>
      <c r="G42" s="4">
        <f ca="1" t="shared" si="57"/>
      </c>
      <c r="H42" s="4">
        <f ca="1" t="shared" si="57"/>
      </c>
      <c r="I42" s="4">
        <f ca="1" t="shared" si="57"/>
      </c>
      <c r="J42" s="4">
        <f ca="1" t="shared" si="57"/>
      </c>
      <c r="K42" s="4">
        <f ca="1" t="shared" si="57"/>
      </c>
      <c r="L42" s="4">
        <f ca="1">IF(L$8&gt;NmE,"",INDIRECT(ADDRESS(Chorder2,6+L$8,1,,"Input")))</f>
      </c>
      <c r="O42" s="30">
        <f t="shared" si="4"/>
      </c>
      <c r="P42" s="30">
        <f t="shared" si="5"/>
      </c>
      <c r="Q42" s="30">
        <f t="shared" si="6"/>
      </c>
      <c r="R42" s="30">
        <f t="shared" si="7"/>
      </c>
      <c r="S42" s="30">
        <f t="shared" si="8"/>
      </c>
      <c r="T42" s="30">
        <f t="shared" si="9"/>
      </c>
      <c r="U42" s="30">
        <f t="shared" si="10"/>
      </c>
      <c r="V42" s="30">
        <f t="shared" si="11"/>
      </c>
      <c r="W42" s="30">
        <f t="shared" si="12"/>
      </c>
      <c r="X42" s="30">
        <f t="shared" si="13"/>
      </c>
      <c r="AA42" s="30">
        <f t="shared" si="14"/>
      </c>
      <c r="AB42" s="30">
        <f t="shared" si="15"/>
      </c>
      <c r="AC42" s="30">
        <f t="shared" si="16"/>
      </c>
      <c r="AD42" s="30">
        <f t="shared" si="17"/>
      </c>
      <c r="AE42" s="30">
        <f t="shared" si="18"/>
      </c>
      <c r="AF42" s="30">
        <f t="shared" si="19"/>
      </c>
      <c r="AG42" s="30">
        <f t="shared" si="20"/>
      </c>
      <c r="AH42" s="30">
        <f t="shared" si="21"/>
      </c>
      <c r="AI42" s="30">
        <f t="shared" si="22"/>
      </c>
      <c r="AJ42" s="30">
        <f t="shared" si="23"/>
      </c>
      <c r="AM42" s="30">
        <f t="shared" si="24"/>
      </c>
      <c r="AN42" s="30">
        <f t="shared" si="25"/>
      </c>
      <c r="AO42" s="30">
        <f t="shared" si="26"/>
      </c>
      <c r="AP42" s="30">
        <f t="shared" si="27"/>
      </c>
      <c r="AQ42" s="30">
        <f t="shared" si="28"/>
      </c>
      <c r="AR42" s="30">
        <f t="shared" si="29"/>
      </c>
      <c r="AS42" s="30">
        <f t="shared" si="30"/>
      </c>
      <c r="AT42" s="30">
        <f t="shared" si="31"/>
      </c>
      <c r="AU42" s="30">
        <f t="shared" si="32"/>
      </c>
      <c r="AV42" s="38">
        <f t="shared" si="33"/>
      </c>
      <c r="AW42" s="33">
        <f t="shared" si="34"/>
      </c>
      <c r="AX42" s="33">
        <f t="shared" si="35"/>
      </c>
      <c r="AY42" s="30">
        <f t="shared" si="2"/>
      </c>
      <c r="AZ42" s="30">
        <f t="shared" si="36"/>
      </c>
      <c r="BA42" s="30">
        <f t="shared" si="37"/>
      </c>
      <c r="BB42" s="30">
        <f t="shared" si="38"/>
      </c>
      <c r="BC42" s="30">
        <f t="shared" si="39"/>
      </c>
      <c r="BD42" s="30">
        <f t="shared" si="40"/>
      </c>
      <c r="BE42" s="30">
        <f t="shared" si="41"/>
      </c>
      <c r="BF42" s="30">
        <f t="shared" si="42"/>
      </c>
      <c r="BG42" s="30">
        <f t="shared" si="43"/>
      </c>
      <c r="BH42" s="38">
        <f t="shared" si="44"/>
      </c>
    </row>
    <row r="43" spans="1:60" ht="12.75">
      <c r="A43" s="2"/>
      <c r="B43" s="2" t="s">
        <v>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O43" s="30">
        <f t="shared" si="4"/>
      </c>
      <c r="P43" s="30">
        <f t="shared" si="5"/>
      </c>
      <c r="Q43" s="30">
        <f t="shared" si="6"/>
      </c>
      <c r="R43" s="30">
        <f t="shared" si="7"/>
      </c>
      <c r="S43" s="30">
        <f t="shared" si="8"/>
      </c>
      <c r="T43" s="30">
        <f t="shared" si="9"/>
      </c>
      <c r="U43" s="30">
        <f t="shared" si="10"/>
      </c>
      <c r="V43" s="30">
        <f t="shared" si="11"/>
      </c>
      <c r="W43" s="30">
        <f t="shared" si="12"/>
      </c>
      <c r="X43" s="30">
        <f t="shared" si="13"/>
      </c>
      <c r="AA43" s="30">
        <f t="shared" si="14"/>
      </c>
      <c r="AB43" s="30">
        <f t="shared" si="15"/>
      </c>
      <c r="AC43" s="30">
        <f t="shared" si="16"/>
      </c>
      <c r="AD43" s="30">
        <f t="shared" si="17"/>
      </c>
      <c r="AE43" s="30">
        <f t="shared" si="18"/>
      </c>
      <c r="AF43" s="30">
        <f t="shared" si="19"/>
      </c>
      <c r="AG43" s="30">
        <f t="shared" si="20"/>
      </c>
      <c r="AH43" s="30">
        <f t="shared" si="21"/>
      </c>
      <c r="AI43" s="30">
        <f t="shared" si="22"/>
      </c>
      <c r="AJ43" s="30">
        <f t="shared" si="23"/>
      </c>
      <c r="AM43" s="30">
        <f t="shared" si="24"/>
      </c>
      <c r="AN43" s="30">
        <f t="shared" si="25"/>
      </c>
      <c r="AO43" s="30">
        <f t="shared" si="26"/>
      </c>
      <c r="AP43" s="30">
        <f t="shared" si="27"/>
      </c>
      <c r="AQ43" s="30">
        <f t="shared" si="28"/>
      </c>
      <c r="AR43" s="30">
        <f t="shared" si="29"/>
      </c>
      <c r="AS43" s="30">
        <f t="shared" si="30"/>
      </c>
      <c r="AT43" s="30">
        <f t="shared" si="31"/>
      </c>
      <c r="AU43" s="30">
        <f t="shared" si="32"/>
      </c>
      <c r="AV43" s="38">
        <f t="shared" si="33"/>
      </c>
      <c r="AW43" s="33">
        <f t="shared" si="34"/>
      </c>
      <c r="AX43" s="33">
        <f t="shared" si="35"/>
      </c>
      <c r="AY43" s="30">
        <f t="shared" si="2"/>
      </c>
      <c r="AZ43" s="30">
        <f t="shared" si="36"/>
      </c>
      <c r="BA43" s="30">
        <f t="shared" si="37"/>
      </c>
      <c r="BB43" s="30">
        <f t="shared" si="38"/>
      </c>
      <c r="BC43" s="30">
        <f t="shared" si="39"/>
      </c>
      <c r="BD43" s="30">
        <f t="shared" si="40"/>
      </c>
      <c r="BE43" s="30">
        <f t="shared" si="41"/>
      </c>
      <c r="BF43" s="30">
        <f t="shared" si="42"/>
      </c>
      <c r="BG43" s="30">
        <f t="shared" si="43"/>
      </c>
      <c r="BH43" s="38">
        <f t="shared" si="44"/>
      </c>
    </row>
    <row r="44" spans="1:60" ht="12.75">
      <c r="A44" s="2"/>
      <c r="B44" s="2">
        <f>IF(Calculator!E29="","",Calculator!E29)</f>
        <v>0</v>
      </c>
      <c r="C44" s="4">
        <f>IF(OR(C$8&gt;NmE,$B44=""),"",cdf(SumBV-C$42*(BsVc2-$B44)))</f>
        <v>0.9280963934810157</v>
      </c>
      <c r="D44" s="4">
        <f aca="true" t="shared" si="58" ref="D44:L48">IF(OR(D$8&gt;NmE,$B44=""),"",cdf(SumBV-D$42*(BsVc2-$B44)))</f>
        <v>0.6334509089397953</v>
      </c>
      <c r="E44" s="4">
        <f t="shared" si="58"/>
        <v>0.20877243816760116</v>
      </c>
      <c r="F44" s="4">
        <f t="shared" si="58"/>
      </c>
      <c r="G44" s="4">
        <f t="shared" si="58"/>
      </c>
      <c r="H44" s="4">
        <f t="shared" si="58"/>
      </c>
      <c r="I44" s="4">
        <f t="shared" si="58"/>
      </c>
      <c r="J44" s="4">
        <f t="shared" si="58"/>
      </c>
      <c r="K44" s="4">
        <f t="shared" si="58"/>
      </c>
      <c r="L44" s="4">
        <f t="shared" si="58"/>
      </c>
      <c r="O44" s="30">
        <f t="shared" si="4"/>
      </c>
      <c r="P44" s="30">
        <f t="shared" si="5"/>
      </c>
      <c r="Q44" s="30">
        <f t="shared" si="6"/>
      </c>
      <c r="R44" s="30">
        <f t="shared" si="7"/>
      </c>
      <c r="S44" s="30">
        <f t="shared" si="8"/>
      </c>
      <c r="T44" s="30">
        <f t="shared" si="9"/>
      </c>
      <c r="U44" s="30">
        <f t="shared" si="10"/>
      </c>
      <c r="V44" s="30">
        <f t="shared" si="11"/>
      </c>
      <c r="W44" s="30">
        <f t="shared" si="12"/>
      </c>
      <c r="X44" s="30">
        <f t="shared" si="13"/>
      </c>
      <c r="AA44" s="30">
        <f t="shared" si="14"/>
      </c>
      <c r="AB44" s="30">
        <f t="shared" si="15"/>
      </c>
      <c r="AC44" s="30">
        <f t="shared" si="16"/>
      </c>
      <c r="AD44" s="30">
        <f t="shared" si="17"/>
      </c>
      <c r="AE44" s="30">
        <f t="shared" si="18"/>
      </c>
      <c r="AF44" s="30">
        <f t="shared" si="19"/>
      </c>
      <c r="AG44" s="30">
        <f t="shared" si="20"/>
      </c>
      <c r="AH44" s="30">
        <f t="shared" si="21"/>
      </c>
      <c r="AI44" s="30">
        <f t="shared" si="22"/>
      </c>
      <c r="AJ44" s="30">
        <f t="shared" si="23"/>
      </c>
      <c r="AM44" s="30">
        <f t="shared" si="24"/>
      </c>
      <c r="AN44" s="30">
        <f t="shared" si="25"/>
      </c>
      <c r="AO44" s="30">
        <f t="shared" si="26"/>
      </c>
      <c r="AP44" s="30">
        <f t="shared" si="27"/>
      </c>
      <c r="AQ44" s="30">
        <f t="shared" si="28"/>
      </c>
      <c r="AR44" s="30">
        <f t="shared" si="29"/>
      </c>
      <c r="AS44" s="30">
        <f t="shared" si="30"/>
      </c>
      <c r="AT44" s="30">
        <f t="shared" si="31"/>
      </c>
      <c r="AU44" s="30">
        <f t="shared" si="32"/>
      </c>
      <c r="AV44" s="38">
        <f t="shared" si="33"/>
      </c>
      <c r="AW44" s="33">
        <f t="shared" si="34"/>
      </c>
      <c r="AX44" s="33">
        <f t="shared" si="35"/>
      </c>
      <c r="AY44" s="30">
        <f t="shared" si="2"/>
      </c>
      <c r="AZ44" s="30">
        <f t="shared" si="36"/>
      </c>
      <c r="BA44" s="30">
        <f t="shared" si="37"/>
      </c>
      <c r="BB44" s="30">
        <f t="shared" si="38"/>
      </c>
      <c r="BC44" s="30">
        <f t="shared" si="39"/>
      </c>
      <c r="BD44" s="30">
        <f t="shared" si="40"/>
      </c>
      <c r="BE44" s="30">
        <f t="shared" si="41"/>
      </c>
      <c r="BF44" s="30">
        <f t="shared" si="42"/>
      </c>
      <c r="BG44" s="30">
        <f t="shared" si="43"/>
      </c>
      <c r="BH44" s="38">
        <f t="shared" si="44"/>
      </c>
    </row>
    <row r="45" spans="1:60" ht="12.75">
      <c r="A45" s="2"/>
      <c r="B45" s="2">
        <f>IF(Calculator!E30="","",Calculator!E30)</f>
        <v>1</v>
      </c>
      <c r="C45" s="4">
        <f>IF(OR(C$8&gt;NmE,$B45=""),"",cdf(SumBV-C$42*(BsVc2-$B45)))</f>
        <v>0.8838168955285979</v>
      </c>
      <c r="D45" s="4">
        <f t="shared" si="58"/>
        <v>0.5492933988840696</v>
      </c>
      <c r="E45" s="4">
        <f t="shared" si="58"/>
        <v>0.1531795055014021</v>
      </c>
      <c r="F45" s="4">
        <f t="shared" si="58"/>
      </c>
      <c r="G45" s="4">
        <f t="shared" si="58"/>
      </c>
      <c r="H45" s="4">
        <f t="shared" si="58"/>
      </c>
      <c r="I45" s="4">
        <f t="shared" si="58"/>
      </c>
      <c r="J45" s="4">
        <f t="shared" si="58"/>
      </c>
      <c r="K45" s="4">
        <f t="shared" si="58"/>
      </c>
      <c r="L45" s="4">
        <f t="shared" si="58"/>
      </c>
      <c r="O45" s="30">
        <f t="shared" si="4"/>
      </c>
      <c r="P45" s="30">
        <f t="shared" si="5"/>
      </c>
      <c r="Q45" s="30">
        <f t="shared" si="6"/>
      </c>
      <c r="R45" s="30">
        <f t="shared" si="7"/>
      </c>
      <c r="S45" s="30">
        <f t="shared" si="8"/>
      </c>
      <c r="T45" s="30">
        <f t="shared" si="9"/>
      </c>
      <c r="U45" s="30">
        <f t="shared" si="10"/>
      </c>
      <c r="V45" s="30">
        <f t="shared" si="11"/>
      </c>
      <c r="W45" s="30">
        <f t="shared" si="12"/>
      </c>
      <c r="X45" s="30">
        <f t="shared" si="13"/>
      </c>
      <c r="AA45" s="30">
        <f t="shared" si="14"/>
      </c>
      <c r="AB45" s="30">
        <f t="shared" si="15"/>
      </c>
      <c r="AC45" s="30">
        <f t="shared" si="16"/>
      </c>
      <c r="AD45" s="30">
        <f t="shared" si="17"/>
      </c>
      <c r="AE45" s="30">
        <f t="shared" si="18"/>
      </c>
      <c r="AF45" s="30">
        <f t="shared" si="19"/>
      </c>
      <c r="AG45" s="30">
        <f t="shared" si="20"/>
      </c>
      <c r="AH45" s="30">
        <f t="shared" si="21"/>
      </c>
      <c r="AI45" s="30">
        <f t="shared" si="22"/>
      </c>
      <c r="AJ45" s="30">
        <f t="shared" si="23"/>
      </c>
      <c r="AM45" s="30">
        <f t="shared" si="24"/>
      </c>
      <c r="AN45" s="30">
        <f t="shared" si="25"/>
      </c>
      <c r="AO45" s="30">
        <f t="shared" si="26"/>
      </c>
      <c r="AP45" s="30">
        <f t="shared" si="27"/>
      </c>
      <c r="AQ45" s="30">
        <f t="shared" si="28"/>
      </c>
      <c r="AR45" s="30">
        <f t="shared" si="29"/>
      </c>
      <c r="AS45" s="30">
        <f t="shared" si="30"/>
      </c>
      <c r="AT45" s="30">
        <f t="shared" si="31"/>
      </c>
      <c r="AU45" s="30">
        <f t="shared" si="32"/>
      </c>
      <c r="AV45" s="38">
        <f t="shared" si="33"/>
      </c>
      <c r="AW45" s="33">
        <f t="shared" si="34"/>
      </c>
      <c r="AX45" s="33">
        <f t="shared" si="35"/>
      </c>
      <c r="AY45" s="30">
        <f t="shared" si="2"/>
      </c>
      <c r="AZ45" s="30">
        <f t="shared" si="36"/>
      </c>
      <c r="BA45" s="30">
        <f t="shared" si="37"/>
      </c>
      <c r="BB45" s="30">
        <f t="shared" si="38"/>
      </c>
      <c r="BC45" s="30">
        <f t="shared" si="39"/>
      </c>
      <c r="BD45" s="30">
        <f t="shared" si="40"/>
      </c>
      <c r="BE45" s="30">
        <f t="shared" si="41"/>
      </c>
      <c r="BF45" s="30">
        <f t="shared" si="42"/>
      </c>
      <c r="BG45" s="30">
        <f t="shared" si="43"/>
      </c>
      <c r="BH45" s="38">
        <f t="shared" si="44"/>
      </c>
    </row>
    <row r="46" spans="1:60" ht="12.75">
      <c r="A46" s="2"/>
      <c r="B46" s="2">
        <f>IF(Calculator!E31="","",Calculator!E31)</f>
      </c>
      <c r="C46" s="4">
        <f>IF(OR(C$8&gt;NmE,$B46=""),"",cdf(SumBV-C$42*(BsVc2-$B46)))</f>
      </c>
      <c r="D46" s="4">
        <f t="shared" si="58"/>
      </c>
      <c r="E46" s="4">
        <f t="shared" si="58"/>
      </c>
      <c r="F46" s="4">
        <f t="shared" si="58"/>
      </c>
      <c r="G46" s="4">
        <f t="shared" si="58"/>
      </c>
      <c r="H46" s="4">
        <f t="shared" si="58"/>
      </c>
      <c r="I46" s="4">
        <f t="shared" si="58"/>
      </c>
      <c r="J46" s="4">
        <f t="shared" si="58"/>
      </c>
      <c r="K46" s="4">
        <f t="shared" si="58"/>
      </c>
      <c r="L46" s="4">
        <f t="shared" si="58"/>
      </c>
      <c r="O46" s="30">
        <f t="shared" si="4"/>
      </c>
      <c r="P46" s="30">
        <f t="shared" si="5"/>
      </c>
      <c r="Q46" s="30">
        <f t="shared" si="6"/>
      </c>
      <c r="R46" s="30">
        <f t="shared" si="7"/>
      </c>
      <c r="S46" s="30">
        <f t="shared" si="8"/>
      </c>
      <c r="T46" s="30">
        <f t="shared" si="9"/>
      </c>
      <c r="U46" s="30">
        <f t="shared" si="10"/>
      </c>
      <c r="V46" s="30">
        <f t="shared" si="11"/>
      </c>
      <c r="W46" s="30">
        <f t="shared" si="12"/>
      </c>
      <c r="X46" s="30">
        <f t="shared" si="13"/>
      </c>
      <c r="AA46" s="30">
        <f t="shared" si="14"/>
      </c>
      <c r="AB46" s="30">
        <f t="shared" si="15"/>
      </c>
      <c r="AC46" s="30">
        <f t="shared" si="16"/>
      </c>
      <c r="AD46" s="30">
        <f t="shared" si="17"/>
      </c>
      <c r="AE46" s="30">
        <f t="shared" si="18"/>
      </c>
      <c r="AF46" s="30">
        <f t="shared" si="19"/>
      </c>
      <c r="AG46" s="30">
        <f t="shared" si="20"/>
      </c>
      <c r="AH46" s="30">
        <f t="shared" si="21"/>
      </c>
      <c r="AI46" s="30">
        <f t="shared" si="22"/>
      </c>
      <c r="AJ46" s="30">
        <f t="shared" si="23"/>
      </c>
      <c r="AM46" s="30">
        <f t="shared" si="24"/>
      </c>
      <c r="AN46" s="30">
        <f t="shared" si="25"/>
      </c>
      <c r="AO46" s="30">
        <f t="shared" si="26"/>
      </c>
      <c r="AP46" s="30">
        <f t="shared" si="27"/>
      </c>
      <c r="AQ46" s="30">
        <f t="shared" si="28"/>
      </c>
      <c r="AR46" s="30">
        <f t="shared" si="29"/>
      </c>
      <c r="AS46" s="30">
        <f t="shared" si="30"/>
      </c>
      <c r="AT46" s="30">
        <f t="shared" si="31"/>
      </c>
      <c r="AU46" s="30">
        <f t="shared" si="32"/>
      </c>
      <c r="AV46" s="38">
        <f t="shared" si="33"/>
      </c>
      <c r="AW46" s="33">
        <f t="shared" si="34"/>
      </c>
      <c r="AX46" s="33">
        <f t="shared" si="35"/>
      </c>
      <c r="AY46" s="30">
        <f t="shared" si="2"/>
      </c>
      <c r="AZ46" s="30">
        <f t="shared" si="36"/>
      </c>
      <c r="BA46" s="30">
        <f t="shared" si="37"/>
      </c>
      <c r="BB46" s="30">
        <f t="shared" si="38"/>
      </c>
      <c r="BC46" s="30">
        <f t="shared" si="39"/>
      </c>
      <c r="BD46" s="30">
        <f t="shared" si="40"/>
      </c>
      <c r="BE46" s="30">
        <f t="shared" si="41"/>
      </c>
      <c r="BF46" s="30">
        <f t="shared" si="42"/>
      </c>
      <c r="BG46" s="30">
        <f t="shared" si="43"/>
      </c>
      <c r="BH46" s="38">
        <f t="shared" si="44"/>
      </c>
    </row>
    <row r="47" spans="1:60" ht="12.75">
      <c r="A47" s="2"/>
      <c r="B47" s="2">
        <f>IF(Calculator!E32="","",Calculator!E32)</f>
      </c>
      <c r="C47" s="4">
        <f>IF(OR(C$8&gt;NmE,$B47=""),"",cdf(SumBV-C$42*(BsVc2-$B47)))</f>
      </c>
      <c r="D47" s="4">
        <f t="shared" si="58"/>
      </c>
      <c r="E47" s="4">
        <f t="shared" si="58"/>
      </c>
      <c r="F47" s="4">
        <f t="shared" si="58"/>
      </c>
      <c r="G47" s="4">
        <f t="shared" si="58"/>
      </c>
      <c r="H47" s="4">
        <f t="shared" si="58"/>
      </c>
      <c r="I47" s="4">
        <f t="shared" si="58"/>
      </c>
      <c r="J47" s="4">
        <f t="shared" si="58"/>
      </c>
      <c r="K47" s="4">
        <f t="shared" si="58"/>
      </c>
      <c r="L47" s="4">
        <f t="shared" si="58"/>
      </c>
      <c r="O47" s="30">
        <f t="shared" si="4"/>
      </c>
      <c r="P47" s="30">
        <f t="shared" si="5"/>
      </c>
      <c r="Q47" s="30">
        <f t="shared" si="6"/>
      </c>
      <c r="R47" s="30">
        <f t="shared" si="7"/>
      </c>
      <c r="S47" s="30">
        <f t="shared" si="8"/>
      </c>
      <c r="T47" s="30">
        <f t="shared" si="9"/>
      </c>
      <c r="U47" s="30">
        <f t="shared" si="10"/>
      </c>
      <c r="V47" s="30">
        <f t="shared" si="11"/>
      </c>
      <c r="W47" s="30">
        <f t="shared" si="12"/>
      </c>
      <c r="X47" s="30">
        <f t="shared" si="13"/>
      </c>
      <c r="AA47" s="30">
        <f t="shared" si="14"/>
      </c>
      <c r="AB47" s="30">
        <f t="shared" si="15"/>
      </c>
      <c r="AC47" s="30">
        <f t="shared" si="16"/>
      </c>
      <c r="AD47" s="30">
        <f t="shared" si="17"/>
      </c>
      <c r="AE47" s="30">
        <f t="shared" si="18"/>
      </c>
      <c r="AF47" s="30">
        <f t="shared" si="19"/>
      </c>
      <c r="AG47" s="30">
        <f t="shared" si="20"/>
      </c>
      <c r="AH47" s="30">
        <f t="shared" si="21"/>
      </c>
      <c r="AI47" s="30">
        <f t="shared" si="22"/>
      </c>
      <c r="AJ47" s="30">
        <f t="shared" si="23"/>
      </c>
      <c r="AM47" s="30">
        <f t="shared" si="24"/>
      </c>
      <c r="AN47" s="30">
        <f t="shared" si="25"/>
      </c>
      <c r="AO47" s="30">
        <f t="shared" si="26"/>
      </c>
      <c r="AP47" s="30">
        <f t="shared" si="27"/>
      </c>
      <c r="AQ47" s="30">
        <f t="shared" si="28"/>
      </c>
      <c r="AR47" s="30">
        <f t="shared" si="29"/>
      </c>
      <c r="AS47" s="30">
        <f t="shared" si="30"/>
      </c>
      <c r="AT47" s="30">
        <f t="shared" si="31"/>
      </c>
      <c r="AU47" s="30">
        <f t="shared" si="32"/>
      </c>
      <c r="AV47" s="38">
        <f t="shared" si="33"/>
      </c>
      <c r="AW47" s="33">
        <f t="shared" si="34"/>
      </c>
      <c r="AX47" s="33">
        <f t="shared" si="35"/>
      </c>
      <c r="AY47" s="30">
        <f t="shared" si="2"/>
      </c>
      <c r="AZ47" s="30">
        <f t="shared" si="36"/>
      </c>
      <c r="BA47" s="30">
        <f t="shared" si="37"/>
      </c>
      <c r="BB47" s="30">
        <f t="shared" si="38"/>
      </c>
      <c r="BC47" s="30">
        <f t="shared" si="39"/>
      </c>
      <c r="BD47" s="30">
        <f t="shared" si="40"/>
      </c>
      <c r="BE47" s="30">
        <f t="shared" si="41"/>
      </c>
      <c r="BF47" s="30">
        <f t="shared" si="42"/>
      </c>
      <c r="BG47" s="30">
        <f t="shared" si="43"/>
      </c>
      <c r="BH47" s="38">
        <f t="shared" si="44"/>
      </c>
    </row>
    <row r="48" spans="1:60" ht="12.75">
      <c r="A48" s="2"/>
      <c r="B48" s="2">
        <f>IF(Calculator!E33="","",Calculator!E33)</f>
      </c>
      <c r="C48" s="4">
        <f>IF(OR(C$8&gt;NmE,$B48=""),"",cdf(SumBV-C$42*(BsVc2-$B48)))</f>
      </c>
      <c r="D48" s="4">
        <f t="shared" si="58"/>
      </c>
      <c r="E48" s="4">
        <f t="shared" si="58"/>
      </c>
      <c r="F48" s="4">
        <f t="shared" si="58"/>
      </c>
      <c r="G48" s="4">
        <f t="shared" si="58"/>
      </c>
      <c r="H48" s="4">
        <f t="shared" si="58"/>
      </c>
      <c r="I48" s="4">
        <f t="shared" si="58"/>
      </c>
      <c r="J48" s="4">
        <f t="shared" si="58"/>
      </c>
      <c r="K48" s="4">
        <f t="shared" si="58"/>
      </c>
      <c r="L48" s="4">
        <f t="shared" si="58"/>
      </c>
      <c r="O48" s="30">
        <f t="shared" si="4"/>
      </c>
      <c r="P48" s="30">
        <f t="shared" si="5"/>
      </c>
      <c r="Q48" s="30">
        <f t="shared" si="6"/>
      </c>
      <c r="R48" s="30">
        <f t="shared" si="7"/>
      </c>
      <c r="S48" s="30">
        <f t="shared" si="8"/>
      </c>
      <c r="T48" s="30">
        <f t="shared" si="9"/>
      </c>
      <c r="U48" s="30">
        <f t="shared" si="10"/>
      </c>
      <c r="V48" s="30">
        <f t="shared" si="11"/>
      </c>
      <c r="W48" s="30">
        <f t="shared" si="12"/>
      </c>
      <c r="X48" s="30">
        <f t="shared" si="13"/>
      </c>
      <c r="AA48" s="30">
        <f t="shared" si="14"/>
      </c>
      <c r="AB48" s="30">
        <f t="shared" si="15"/>
      </c>
      <c r="AC48" s="30">
        <f t="shared" si="16"/>
      </c>
      <c r="AD48" s="30">
        <f t="shared" si="17"/>
      </c>
      <c r="AE48" s="30">
        <f t="shared" si="18"/>
      </c>
      <c r="AF48" s="30">
        <f t="shared" si="19"/>
      </c>
      <c r="AG48" s="30">
        <f t="shared" si="20"/>
      </c>
      <c r="AH48" s="30">
        <f t="shared" si="21"/>
      </c>
      <c r="AI48" s="30">
        <f t="shared" si="22"/>
      </c>
      <c r="AJ48" s="30">
        <f t="shared" si="23"/>
      </c>
      <c r="AM48" s="30">
        <f t="shared" si="24"/>
      </c>
      <c r="AN48" s="30">
        <f t="shared" si="25"/>
      </c>
      <c r="AO48" s="30">
        <f t="shared" si="26"/>
      </c>
      <c r="AP48" s="30">
        <f t="shared" si="27"/>
      </c>
      <c r="AQ48" s="30">
        <f t="shared" si="28"/>
      </c>
      <c r="AR48" s="30">
        <f t="shared" si="29"/>
      </c>
      <c r="AS48" s="30">
        <f t="shared" si="30"/>
      </c>
      <c r="AT48" s="30">
        <f t="shared" si="31"/>
      </c>
      <c r="AU48" s="30">
        <f t="shared" si="32"/>
      </c>
      <c r="AV48" s="38">
        <f t="shared" si="33"/>
      </c>
      <c r="AW48" s="33">
        <f t="shared" si="34"/>
      </c>
      <c r="AX48" s="33">
        <f t="shared" si="35"/>
      </c>
      <c r="AY48" s="30">
        <f t="shared" si="2"/>
      </c>
      <c r="AZ48" s="30">
        <f t="shared" si="36"/>
      </c>
      <c r="BA48" s="30">
        <f t="shared" si="37"/>
      </c>
      <c r="BB48" s="30">
        <f t="shared" si="38"/>
      </c>
      <c r="BC48" s="30">
        <f t="shared" si="39"/>
      </c>
      <c r="BD48" s="30">
        <f t="shared" si="40"/>
      </c>
      <c r="BE48" s="30">
        <f t="shared" si="41"/>
      </c>
      <c r="BF48" s="30">
        <f t="shared" si="42"/>
      </c>
      <c r="BG48" s="30">
        <f t="shared" si="43"/>
      </c>
      <c r="BH48" s="38">
        <f t="shared" si="44"/>
      </c>
    </row>
    <row r="49" spans="1:60" ht="12.75">
      <c r="A49" s="2"/>
      <c r="B49" s="2" t="s">
        <v>87</v>
      </c>
      <c r="C49" s="4"/>
      <c r="D49" s="4"/>
      <c r="E49" s="4"/>
      <c r="F49" s="4"/>
      <c r="G49" s="4"/>
      <c r="H49" s="4"/>
      <c r="I49" s="4"/>
      <c r="J49" s="4"/>
      <c r="K49" s="4"/>
      <c r="L49" s="4"/>
      <c r="O49" s="30">
        <f t="shared" si="4"/>
      </c>
      <c r="P49" s="30">
        <f t="shared" si="5"/>
      </c>
      <c r="Q49" s="30">
        <f t="shared" si="6"/>
      </c>
      <c r="R49" s="30">
        <f t="shared" si="7"/>
      </c>
      <c r="S49" s="30">
        <f t="shared" si="8"/>
      </c>
      <c r="T49" s="30">
        <f t="shared" si="9"/>
      </c>
      <c r="U49" s="30">
        <f t="shared" si="10"/>
      </c>
      <c r="V49" s="30">
        <f t="shared" si="11"/>
      </c>
      <c r="W49" s="30">
        <f t="shared" si="12"/>
      </c>
      <c r="X49" s="30">
        <f t="shared" si="13"/>
      </c>
      <c r="AA49" s="30">
        <f t="shared" si="14"/>
      </c>
      <c r="AB49" s="30">
        <f t="shared" si="15"/>
      </c>
      <c r="AC49" s="30">
        <f t="shared" si="16"/>
      </c>
      <c r="AD49" s="30">
        <f t="shared" si="17"/>
      </c>
      <c r="AE49" s="30">
        <f t="shared" si="18"/>
      </c>
      <c r="AF49" s="30">
        <f t="shared" si="19"/>
      </c>
      <c r="AG49" s="30">
        <f t="shared" si="20"/>
      </c>
      <c r="AH49" s="30">
        <f t="shared" si="21"/>
      </c>
      <c r="AI49" s="30">
        <f t="shared" si="22"/>
      </c>
      <c r="AJ49" s="30">
        <f t="shared" si="23"/>
      </c>
      <c r="AM49" s="30">
        <f t="shared" si="24"/>
      </c>
      <c r="AN49" s="30">
        <f t="shared" si="25"/>
      </c>
      <c r="AO49" s="30">
        <f t="shared" si="26"/>
      </c>
      <c r="AP49" s="30">
        <f t="shared" si="27"/>
      </c>
      <c r="AQ49" s="30">
        <f t="shared" si="28"/>
      </c>
      <c r="AR49" s="30">
        <f t="shared" si="29"/>
      </c>
      <c r="AS49" s="30">
        <f t="shared" si="30"/>
      </c>
      <c r="AT49" s="30">
        <f t="shared" si="31"/>
      </c>
      <c r="AU49" s="30">
        <f t="shared" si="32"/>
      </c>
      <c r="AV49" s="38">
        <f t="shared" si="33"/>
      </c>
      <c r="AW49" s="33">
        <f t="shared" si="34"/>
      </c>
      <c r="AX49" s="33">
        <f t="shared" si="35"/>
      </c>
      <c r="AY49" s="30">
        <f aca="true" t="shared" si="59" ref="AY49:AY65">IF(RHV="","",-cdf($C$11-(Bval-Mn-0.5*SD)*e1b)+cdf($C$11-(Bval-Mn+0.5*SD)*e1b))</f>
      </c>
      <c r="AZ49" s="30">
        <f t="shared" si="36"/>
      </c>
      <c r="BA49" s="30">
        <f t="shared" si="37"/>
      </c>
      <c r="BB49" s="30">
        <f t="shared" si="38"/>
      </c>
      <c r="BC49" s="30">
        <f t="shared" si="39"/>
      </c>
      <c r="BD49" s="30">
        <f t="shared" si="40"/>
      </c>
      <c r="BE49" s="30">
        <f t="shared" si="41"/>
      </c>
      <c r="BF49" s="30">
        <f t="shared" si="42"/>
      </c>
      <c r="BG49" s="30">
        <f t="shared" si="43"/>
      </c>
      <c r="BH49" s="38">
        <f t="shared" si="44"/>
      </c>
    </row>
    <row r="50" spans="1:60" ht="12.75">
      <c r="A50" s="2"/>
      <c r="B50" s="2"/>
      <c r="C50" s="4">
        <f>IF(C44="","",1-C44)</f>
        <v>0.07190360651898431</v>
      </c>
      <c r="D50" s="22">
        <f aca="true" t="shared" si="60" ref="D50:L50">IF(D44="",C44,C44-D44)</f>
        <v>0.2946454845412204</v>
      </c>
      <c r="E50" s="22">
        <f t="shared" si="60"/>
        <v>0.4246784707721941</v>
      </c>
      <c r="F50" s="22">
        <f t="shared" si="60"/>
        <v>0.20877243816760116</v>
      </c>
      <c r="G50" s="22">
        <f t="shared" si="60"/>
      </c>
      <c r="H50" s="22">
        <f t="shared" si="60"/>
      </c>
      <c r="I50" s="22">
        <f t="shared" si="60"/>
      </c>
      <c r="J50" s="22">
        <f t="shared" si="60"/>
      </c>
      <c r="K50" s="22">
        <f t="shared" si="60"/>
      </c>
      <c r="L50" s="22">
        <f t="shared" si="60"/>
      </c>
      <c r="O50" s="30">
        <f t="shared" si="4"/>
      </c>
      <c r="P50" s="30">
        <f t="shared" si="5"/>
      </c>
      <c r="Q50" s="30">
        <f t="shared" si="6"/>
      </c>
      <c r="R50" s="30">
        <f t="shared" si="7"/>
      </c>
      <c r="S50" s="30">
        <f t="shared" si="8"/>
      </c>
      <c r="T50" s="30">
        <f t="shared" si="9"/>
      </c>
      <c r="U50" s="30">
        <f t="shared" si="10"/>
      </c>
      <c r="V50" s="30">
        <f t="shared" si="11"/>
      </c>
      <c r="W50" s="30">
        <f t="shared" si="12"/>
      </c>
      <c r="X50" s="30">
        <f t="shared" si="13"/>
      </c>
      <c r="AA50" s="30">
        <f t="shared" si="14"/>
      </c>
      <c r="AB50" s="30">
        <f t="shared" si="15"/>
      </c>
      <c r="AC50" s="30">
        <f t="shared" si="16"/>
      </c>
      <c r="AD50" s="30">
        <f t="shared" si="17"/>
      </c>
      <c r="AE50" s="30">
        <f t="shared" si="18"/>
      </c>
      <c r="AF50" s="30">
        <f t="shared" si="19"/>
      </c>
      <c r="AG50" s="30">
        <f t="shared" si="20"/>
      </c>
      <c r="AH50" s="30">
        <f t="shared" si="21"/>
      </c>
      <c r="AI50" s="30">
        <f t="shared" si="22"/>
      </c>
      <c r="AJ50" s="30">
        <f t="shared" si="23"/>
      </c>
      <c r="AM50" s="30">
        <f t="shared" si="24"/>
      </c>
      <c r="AN50" s="30">
        <f t="shared" si="25"/>
      </c>
      <c r="AO50" s="30">
        <f t="shared" si="26"/>
      </c>
      <c r="AP50" s="30">
        <f t="shared" si="27"/>
      </c>
      <c r="AQ50" s="30">
        <f t="shared" si="28"/>
      </c>
      <c r="AR50" s="30">
        <f t="shared" si="29"/>
      </c>
      <c r="AS50" s="30">
        <f t="shared" si="30"/>
      </c>
      <c r="AT50" s="30">
        <f t="shared" si="31"/>
      </c>
      <c r="AU50" s="30">
        <f t="shared" si="32"/>
      </c>
      <c r="AV50" s="38">
        <f t="shared" si="33"/>
      </c>
      <c r="AW50" s="33">
        <f t="shared" si="34"/>
      </c>
      <c r="AX50" s="33">
        <f t="shared" si="35"/>
      </c>
      <c r="AY50" s="30">
        <f t="shared" si="59"/>
      </c>
      <c r="AZ50" s="30">
        <f t="shared" si="36"/>
      </c>
      <c r="BA50" s="30">
        <f t="shared" si="37"/>
      </c>
      <c r="BB50" s="30">
        <f t="shared" si="38"/>
      </c>
      <c r="BC50" s="30">
        <f t="shared" si="39"/>
      </c>
      <c r="BD50" s="30">
        <f t="shared" si="40"/>
      </c>
      <c r="BE50" s="30">
        <f t="shared" si="41"/>
      </c>
      <c r="BF50" s="30">
        <f t="shared" si="42"/>
      </c>
      <c r="BG50" s="30">
        <f t="shared" si="43"/>
      </c>
      <c r="BH50" s="38">
        <f t="shared" si="44"/>
      </c>
    </row>
    <row r="51" spans="1:60" ht="12.75">
      <c r="A51" s="2"/>
      <c r="B51" s="2"/>
      <c r="C51" s="4">
        <f>IF(C45="","",1-C45)</f>
        <v>0.11618310447140212</v>
      </c>
      <c r="D51" s="22">
        <f aca="true" t="shared" si="61" ref="D51:L51">IF(D45="",C45,C45-D45)</f>
        <v>0.3345234966445283</v>
      </c>
      <c r="E51" s="22">
        <f t="shared" si="61"/>
        <v>0.39611389338266745</v>
      </c>
      <c r="F51" s="22">
        <f t="shared" si="61"/>
        <v>0.1531795055014021</v>
      </c>
      <c r="G51" s="22">
        <f t="shared" si="61"/>
      </c>
      <c r="H51" s="22">
        <f t="shared" si="61"/>
      </c>
      <c r="I51" s="22">
        <f t="shared" si="61"/>
      </c>
      <c r="J51" s="22">
        <f t="shared" si="61"/>
      </c>
      <c r="K51" s="22">
        <f t="shared" si="61"/>
      </c>
      <c r="L51" s="22">
        <f t="shared" si="61"/>
      </c>
      <c r="O51" s="30">
        <f t="shared" si="4"/>
      </c>
      <c r="P51" s="30">
        <f t="shared" si="5"/>
      </c>
      <c r="Q51" s="30">
        <f t="shared" si="6"/>
      </c>
      <c r="R51" s="30">
        <f t="shared" si="7"/>
      </c>
      <c r="S51" s="30">
        <f t="shared" si="8"/>
      </c>
      <c r="T51" s="30">
        <f t="shared" si="9"/>
      </c>
      <c r="U51" s="30">
        <f t="shared" si="10"/>
      </c>
      <c r="V51" s="30">
        <f t="shared" si="11"/>
      </c>
      <c r="W51" s="30">
        <f t="shared" si="12"/>
      </c>
      <c r="X51" s="30">
        <f t="shared" si="13"/>
      </c>
      <c r="AA51" s="30">
        <f t="shared" si="14"/>
      </c>
      <c r="AB51" s="30">
        <f t="shared" si="15"/>
      </c>
      <c r="AC51" s="30">
        <f t="shared" si="16"/>
      </c>
      <c r="AD51" s="30">
        <f t="shared" si="17"/>
      </c>
      <c r="AE51" s="30">
        <f t="shared" si="18"/>
      </c>
      <c r="AF51" s="30">
        <f t="shared" si="19"/>
      </c>
      <c r="AG51" s="30">
        <f t="shared" si="20"/>
      </c>
      <c r="AH51" s="30">
        <f t="shared" si="21"/>
      </c>
      <c r="AI51" s="30">
        <f t="shared" si="22"/>
      </c>
      <c r="AJ51" s="30">
        <f t="shared" si="23"/>
      </c>
      <c r="AM51" s="30">
        <f t="shared" si="24"/>
      </c>
      <c r="AN51" s="30">
        <f t="shared" si="25"/>
      </c>
      <c r="AO51" s="30">
        <f t="shared" si="26"/>
      </c>
      <c r="AP51" s="30">
        <f t="shared" si="27"/>
      </c>
      <c r="AQ51" s="30">
        <f t="shared" si="28"/>
      </c>
      <c r="AR51" s="30">
        <f t="shared" si="29"/>
      </c>
      <c r="AS51" s="30">
        <f t="shared" si="30"/>
      </c>
      <c r="AT51" s="30">
        <f t="shared" si="31"/>
      </c>
      <c r="AU51" s="30">
        <f t="shared" si="32"/>
      </c>
      <c r="AV51" s="38">
        <f t="shared" si="33"/>
      </c>
      <c r="AW51" s="33">
        <f t="shared" si="34"/>
      </c>
      <c r="AX51" s="33">
        <f t="shared" si="35"/>
      </c>
      <c r="AY51" s="30">
        <f t="shared" si="59"/>
      </c>
      <c r="AZ51" s="30">
        <f t="shared" si="36"/>
      </c>
      <c r="BA51" s="30">
        <f t="shared" si="37"/>
      </c>
      <c r="BB51" s="30">
        <f t="shared" si="38"/>
      </c>
      <c r="BC51" s="30">
        <f t="shared" si="39"/>
      </c>
      <c r="BD51" s="30">
        <f t="shared" si="40"/>
      </c>
      <c r="BE51" s="30">
        <f t="shared" si="41"/>
      </c>
      <c r="BF51" s="30">
        <f t="shared" si="42"/>
      </c>
      <c r="BG51" s="30">
        <f t="shared" si="43"/>
      </c>
      <c r="BH51" s="38">
        <f t="shared" si="44"/>
      </c>
    </row>
    <row r="52" spans="1:60" ht="12.75">
      <c r="A52" s="2"/>
      <c r="B52" s="2"/>
      <c r="C52" s="4">
        <f>IF(C46="","",1-C46)</f>
      </c>
      <c r="D52" s="22">
        <f aca="true" t="shared" si="62" ref="D52:L52">IF(D46="",C46,C46-D46)</f>
      </c>
      <c r="E52" s="22">
        <f t="shared" si="62"/>
      </c>
      <c r="F52" s="22">
        <f t="shared" si="62"/>
      </c>
      <c r="G52" s="22">
        <f t="shared" si="62"/>
      </c>
      <c r="H52" s="22">
        <f t="shared" si="62"/>
      </c>
      <c r="I52" s="22">
        <f t="shared" si="62"/>
      </c>
      <c r="J52" s="22">
        <f t="shared" si="62"/>
      </c>
      <c r="K52" s="22">
        <f t="shared" si="62"/>
      </c>
      <c r="L52" s="22">
        <f t="shared" si="62"/>
      </c>
      <c r="O52" s="30">
        <f t="shared" si="4"/>
      </c>
      <c r="P52" s="30">
        <f t="shared" si="5"/>
      </c>
      <c r="Q52" s="30">
        <f t="shared" si="6"/>
      </c>
      <c r="R52" s="30">
        <f t="shared" si="7"/>
      </c>
      <c r="S52" s="30">
        <f t="shared" si="8"/>
      </c>
      <c r="T52" s="30">
        <f t="shared" si="9"/>
      </c>
      <c r="U52" s="30">
        <f t="shared" si="10"/>
      </c>
      <c r="V52" s="30">
        <f t="shared" si="11"/>
      </c>
      <c r="W52" s="30">
        <f t="shared" si="12"/>
      </c>
      <c r="X52" s="30">
        <f t="shared" si="13"/>
      </c>
      <c r="AA52" s="30">
        <f t="shared" si="14"/>
      </c>
      <c r="AB52" s="30">
        <f t="shared" si="15"/>
      </c>
      <c r="AC52" s="30">
        <f t="shared" si="16"/>
      </c>
      <c r="AD52" s="30">
        <f t="shared" si="17"/>
      </c>
      <c r="AE52" s="30">
        <f t="shared" si="18"/>
      </c>
      <c r="AF52" s="30">
        <f t="shared" si="19"/>
      </c>
      <c r="AG52" s="30">
        <f t="shared" si="20"/>
      </c>
      <c r="AH52" s="30">
        <f t="shared" si="21"/>
      </c>
      <c r="AI52" s="30">
        <f t="shared" si="22"/>
      </c>
      <c r="AJ52" s="30">
        <f t="shared" si="23"/>
      </c>
      <c r="AM52" s="30">
        <f t="shared" si="24"/>
      </c>
      <c r="AN52" s="30">
        <f t="shared" si="25"/>
      </c>
      <c r="AO52" s="30">
        <f t="shared" si="26"/>
      </c>
      <c r="AP52" s="30">
        <f t="shared" si="27"/>
      </c>
      <c r="AQ52" s="30">
        <f t="shared" si="28"/>
      </c>
      <c r="AR52" s="30">
        <f t="shared" si="29"/>
      </c>
      <c r="AS52" s="30">
        <f t="shared" si="30"/>
      </c>
      <c r="AT52" s="30">
        <f t="shared" si="31"/>
      </c>
      <c r="AU52" s="30">
        <f t="shared" si="32"/>
      </c>
      <c r="AV52" s="38">
        <f t="shared" si="33"/>
      </c>
      <c r="AW52" s="33">
        <f t="shared" si="34"/>
      </c>
      <c r="AX52" s="33">
        <f t="shared" si="35"/>
      </c>
      <c r="AY52" s="30">
        <f t="shared" si="59"/>
      </c>
      <c r="AZ52" s="30">
        <f t="shared" si="36"/>
      </c>
      <c r="BA52" s="30">
        <f t="shared" si="37"/>
      </c>
      <c r="BB52" s="30">
        <f t="shared" si="38"/>
      </c>
      <c r="BC52" s="30">
        <f t="shared" si="39"/>
      </c>
      <c r="BD52" s="30">
        <f t="shared" si="40"/>
      </c>
      <c r="BE52" s="30">
        <f t="shared" si="41"/>
      </c>
      <c r="BF52" s="30">
        <f t="shared" si="42"/>
      </c>
      <c r="BG52" s="30">
        <f t="shared" si="43"/>
      </c>
      <c r="BH52" s="38">
        <f t="shared" si="44"/>
      </c>
    </row>
    <row r="53" spans="1:60" ht="12.75">
      <c r="A53" s="2"/>
      <c r="B53" s="2"/>
      <c r="C53" s="4">
        <f>IF(C47="","",1-C47)</f>
      </c>
      <c r="D53" s="22">
        <f aca="true" t="shared" si="63" ref="D53:L53">IF(D47="",C47,C47-D47)</f>
      </c>
      <c r="E53" s="22">
        <f t="shared" si="63"/>
      </c>
      <c r="F53" s="22">
        <f t="shared" si="63"/>
      </c>
      <c r="G53" s="22">
        <f t="shared" si="63"/>
      </c>
      <c r="H53" s="22">
        <f t="shared" si="63"/>
      </c>
      <c r="I53" s="22">
        <f t="shared" si="63"/>
      </c>
      <c r="J53" s="22">
        <f t="shared" si="63"/>
      </c>
      <c r="K53" s="22">
        <f t="shared" si="63"/>
      </c>
      <c r="L53" s="22">
        <f t="shared" si="63"/>
      </c>
      <c r="O53" s="30">
        <f t="shared" si="4"/>
      </c>
      <c r="P53" s="30">
        <f t="shared" si="5"/>
      </c>
      <c r="Q53" s="30">
        <f t="shared" si="6"/>
      </c>
      <c r="R53" s="30">
        <f t="shared" si="7"/>
      </c>
      <c r="S53" s="30">
        <f t="shared" si="8"/>
      </c>
      <c r="T53" s="30">
        <f t="shared" si="9"/>
      </c>
      <c r="U53" s="30">
        <f t="shared" si="10"/>
      </c>
      <c r="V53" s="30">
        <f t="shared" si="11"/>
      </c>
      <c r="W53" s="30">
        <f t="shared" si="12"/>
      </c>
      <c r="X53" s="30">
        <f t="shared" si="13"/>
      </c>
      <c r="AA53" s="30">
        <f t="shared" si="14"/>
      </c>
      <c r="AB53" s="30">
        <f t="shared" si="15"/>
      </c>
      <c r="AC53" s="30">
        <f t="shared" si="16"/>
      </c>
      <c r="AD53" s="30">
        <f t="shared" si="17"/>
      </c>
      <c r="AE53" s="30">
        <f t="shared" si="18"/>
      </c>
      <c r="AF53" s="30">
        <f t="shared" si="19"/>
      </c>
      <c r="AG53" s="30">
        <f t="shared" si="20"/>
      </c>
      <c r="AH53" s="30">
        <f t="shared" si="21"/>
      </c>
      <c r="AI53" s="30">
        <f t="shared" si="22"/>
      </c>
      <c r="AJ53" s="30">
        <f t="shared" si="23"/>
      </c>
      <c r="AM53" s="30">
        <f t="shared" si="24"/>
      </c>
      <c r="AN53" s="30">
        <f t="shared" si="25"/>
      </c>
      <c r="AO53" s="30">
        <f t="shared" si="26"/>
      </c>
      <c r="AP53" s="30">
        <f t="shared" si="27"/>
      </c>
      <c r="AQ53" s="30">
        <f t="shared" si="28"/>
      </c>
      <c r="AR53" s="30">
        <f t="shared" si="29"/>
      </c>
      <c r="AS53" s="30">
        <f t="shared" si="30"/>
      </c>
      <c r="AT53" s="30">
        <f t="shared" si="31"/>
      </c>
      <c r="AU53" s="30">
        <f t="shared" si="32"/>
      </c>
      <c r="AV53" s="38">
        <f t="shared" si="33"/>
      </c>
      <c r="AW53" s="33">
        <f t="shared" si="34"/>
      </c>
      <c r="AX53" s="33">
        <f t="shared" si="35"/>
      </c>
      <c r="AY53" s="30">
        <f t="shared" si="59"/>
      </c>
      <c r="AZ53" s="30">
        <f t="shared" si="36"/>
      </c>
      <c r="BA53" s="30">
        <f t="shared" si="37"/>
      </c>
      <c r="BB53" s="30">
        <f t="shared" si="38"/>
      </c>
      <c r="BC53" s="30">
        <f t="shared" si="39"/>
      </c>
      <c r="BD53" s="30">
        <f t="shared" si="40"/>
      </c>
      <c r="BE53" s="30">
        <f t="shared" si="41"/>
      </c>
      <c r="BF53" s="30">
        <f t="shared" si="42"/>
      </c>
      <c r="BG53" s="30">
        <f t="shared" si="43"/>
      </c>
      <c r="BH53" s="38">
        <f t="shared" si="44"/>
      </c>
    </row>
    <row r="54" spans="1:60" ht="12.75">
      <c r="A54" s="2"/>
      <c r="B54" s="8"/>
      <c r="C54" s="36">
        <f>IF(C48="","",1-C48)</f>
      </c>
      <c r="D54" s="21">
        <f aca="true" t="shared" si="64" ref="D54:L54">IF(D48="",C48,C48-D48)</f>
      </c>
      <c r="E54" s="21">
        <f t="shared" si="64"/>
      </c>
      <c r="F54" s="21">
        <f t="shared" si="64"/>
      </c>
      <c r="G54" s="21">
        <f t="shared" si="64"/>
      </c>
      <c r="H54" s="21">
        <f t="shared" si="64"/>
      </c>
      <c r="I54" s="21">
        <f t="shared" si="64"/>
      </c>
      <c r="J54" s="21">
        <f t="shared" si="64"/>
      </c>
      <c r="K54" s="21">
        <f t="shared" si="64"/>
      </c>
      <c r="L54" s="21">
        <f t="shared" si="64"/>
      </c>
      <c r="O54" s="30">
        <f t="shared" si="4"/>
      </c>
      <c r="P54" s="30">
        <f t="shared" si="5"/>
      </c>
      <c r="Q54" s="30">
        <f t="shared" si="6"/>
      </c>
      <c r="R54" s="30">
        <f t="shared" si="7"/>
      </c>
      <c r="S54" s="30">
        <f t="shared" si="8"/>
      </c>
      <c r="T54" s="30">
        <f t="shared" si="9"/>
      </c>
      <c r="U54" s="30">
        <f t="shared" si="10"/>
      </c>
      <c r="V54" s="30">
        <f t="shared" si="11"/>
      </c>
      <c r="W54" s="30">
        <f t="shared" si="12"/>
      </c>
      <c r="X54" s="30">
        <f t="shared" si="13"/>
      </c>
      <c r="AA54" s="30">
        <f t="shared" si="14"/>
      </c>
      <c r="AB54" s="30">
        <f t="shared" si="15"/>
      </c>
      <c r="AC54" s="30">
        <f t="shared" si="16"/>
      </c>
      <c r="AD54" s="30">
        <f t="shared" si="17"/>
      </c>
      <c r="AE54" s="30">
        <f t="shared" si="18"/>
      </c>
      <c r="AF54" s="30">
        <f t="shared" si="19"/>
      </c>
      <c r="AG54" s="30">
        <f t="shared" si="20"/>
      </c>
      <c r="AH54" s="30">
        <f t="shared" si="21"/>
      </c>
      <c r="AI54" s="30">
        <f t="shared" si="22"/>
      </c>
      <c r="AJ54" s="30">
        <f t="shared" si="23"/>
      </c>
      <c r="AM54" s="30">
        <f t="shared" si="24"/>
      </c>
      <c r="AN54" s="30">
        <f t="shared" si="25"/>
      </c>
      <c r="AO54" s="30">
        <f t="shared" si="26"/>
      </c>
      <c r="AP54" s="30">
        <f t="shared" si="27"/>
      </c>
      <c r="AQ54" s="30">
        <f t="shared" si="28"/>
      </c>
      <c r="AR54" s="30">
        <f t="shared" si="29"/>
      </c>
      <c r="AS54" s="30">
        <f t="shared" si="30"/>
      </c>
      <c r="AT54" s="30">
        <f t="shared" si="31"/>
      </c>
      <c r="AU54" s="30">
        <f t="shared" si="32"/>
      </c>
      <c r="AV54" s="38">
        <f t="shared" si="33"/>
      </c>
      <c r="AW54" s="33">
        <f t="shared" si="34"/>
      </c>
      <c r="AX54" s="33">
        <f t="shared" si="35"/>
      </c>
      <c r="AY54" s="30">
        <f t="shared" si="59"/>
      </c>
      <c r="AZ54" s="30">
        <f t="shared" si="36"/>
      </c>
      <c r="BA54" s="30">
        <f t="shared" si="37"/>
      </c>
      <c r="BB54" s="30">
        <f t="shared" si="38"/>
      </c>
      <c r="BC54" s="30">
        <f t="shared" si="39"/>
      </c>
      <c r="BD54" s="30">
        <f t="shared" si="40"/>
      </c>
      <c r="BE54" s="30">
        <f t="shared" si="41"/>
      </c>
      <c r="BF54" s="30">
        <f t="shared" si="42"/>
      </c>
      <c r="BG54" s="30">
        <f t="shared" si="43"/>
      </c>
      <c r="BH54" s="38">
        <f t="shared" si="44"/>
      </c>
    </row>
    <row r="55" spans="1:60" ht="12.75">
      <c r="A55" s="2"/>
      <c r="B55" s="2"/>
      <c r="C55" s="4"/>
      <c r="D55" s="4"/>
      <c r="E55" s="4"/>
      <c r="F55" s="4"/>
      <c r="G55" s="4"/>
      <c r="H55" s="4"/>
      <c r="I55" s="4"/>
      <c r="J55" s="4"/>
      <c r="K55" s="4"/>
      <c r="L55" s="4"/>
      <c r="O55" s="30">
        <f t="shared" si="4"/>
      </c>
      <c r="P55" s="30">
        <f t="shared" si="5"/>
      </c>
      <c r="Q55" s="30">
        <f t="shared" si="6"/>
      </c>
      <c r="R55" s="30">
        <f t="shared" si="7"/>
      </c>
      <c r="S55" s="30">
        <f t="shared" si="8"/>
      </c>
      <c r="T55" s="30">
        <f t="shared" si="9"/>
      </c>
      <c r="U55" s="30">
        <f t="shared" si="10"/>
      </c>
      <c r="V55" s="30">
        <f t="shared" si="11"/>
      </c>
      <c r="W55" s="30">
        <f t="shared" si="12"/>
      </c>
      <c r="X55" s="30">
        <f t="shared" si="13"/>
      </c>
      <c r="AA55" s="30">
        <f t="shared" si="14"/>
      </c>
      <c r="AB55" s="30">
        <f t="shared" si="15"/>
      </c>
      <c r="AC55" s="30">
        <f t="shared" si="16"/>
      </c>
      <c r="AD55" s="30">
        <f t="shared" si="17"/>
      </c>
      <c r="AE55" s="30">
        <f t="shared" si="18"/>
      </c>
      <c r="AF55" s="30">
        <f t="shared" si="19"/>
      </c>
      <c r="AG55" s="30">
        <f t="shared" si="20"/>
      </c>
      <c r="AH55" s="30">
        <f t="shared" si="21"/>
      </c>
      <c r="AI55" s="30">
        <f t="shared" si="22"/>
      </c>
      <c r="AJ55" s="30">
        <f t="shared" si="23"/>
      </c>
      <c r="AM55" s="30">
        <f t="shared" si="24"/>
      </c>
      <c r="AN55" s="30">
        <f t="shared" si="25"/>
      </c>
      <c r="AO55" s="30">
        <f t="shared" si="26"/>
      </c>
      <c r="AP55" s="30">
        <f t="shared" si="27"/>
      </c>
      <c r="AQ55" s="30">
        <f t="shared" si="28"/>
      </c>
      <c r="AR55" s="30">
        <f t="shared" si="29"/>
      </c>
      <c r="AS55" s="30">
        <f t="shared" si="30"/>
      </c>
      <c r="AT55" s="30">
        <f t="shared" si="31"/>
      </c>
      <c r="AU55" s="30">
        <f t="shared" si="32"/>
      </c>
      <c r="AV55" s="38">
        <f t="shared" si="33"/>
      </c>
      <c r="AW55" s="33">
        <f t="shared" si="34"/>
      </c>
      <c r="AX55" s="33">
        <f t="shared" si="35"/>
      </c>
      <c r="AY55" s="30">
        <f t="shared" si="59"/>
      </c>
      <c r="AZ55" s="30">
        <f t="shared" si="36"/>
      </c>
      <c r="BA55" s="30">
        <f t="shared" si="37"/>
      </c>
      <c r="BB55" s="30">
        <f t="shared" si="38"/>
      </c>
      <c r="BC55" s="30">
        <f t="shared" si="39"/>
      </c>
      <c r="BD55" s="30">
        <f t="shared" si="40"/>
      </c>
      <c r="BE55" s="30">
        <f t="shared" si="41"/>
      </c>
      <c r="BF55" s="30">
        <f t="shared" si="42"/>
      </c>
      <c r="BG55" s="30">
        <f t="shared" si="43"/>
      </c>
      <c r="BH55" s="38">
        <f t="shared" si="44"/>
      </c>
    </row>
    <row r="56" spans="1:60" ht="12.75">
      <c r="A56" s="2"/>
      <c r="B56" s="2" t="s">
        <v>48</v>
      </c>
      <c r="C56" s="4">
        <f ca="1">INDIRECT(ADDRESS(Chorder3,12,1,,"Input"))</f>
        <v>-0.0163486</v>
      </c>
      <c r="D56" s="4">
        <f aca="true" ca="1" t="shared" si="65" ref="D56:K56">IF(D$8&gt;NmE,"",INDIRECT(ADDRESS(Chorder3,11+D$8,1,,"Input")))</f>
        <v>-0.0249764</v>
      </c>
      <c r="E56" s="4">
        <f ca="1" t="shared" si="65"/>
        <v>-0.0186902</v>
      </c>
      <c r="F56" s="4">
        <f ca="1" t="shared" si="65"/>
      </c>
      <c r="G56" s="4">
        <f ca="1" t="shared" si="65"/>
      </c>
      <c r="H56" s="4">
        <f ca="1" t="shared" si="65"/>
      </c>
      <c r="I56" s="4">
        <f ca="1" t="shared" si="65"/>
      </c>
      <c r="J56" s="4">
        <f ca="1" t="shared" si="65"/>
      </c>
      <c r="K56" s="4">
        <f ca="1" t="shared" si="65"/>
      </c>
      <c r="L56" s="4">
        <f ca="1">IF(L$8&gt;NmE,"",INDIRECT(ADDRESS(Chorder3,6+L$8,1,,"Input")))</f>
      </c>
      <c r="O56" s="30">
        <f t="shared" si="4"/>
      </c>
      <c r="P56" s="30">
        <f t="shared" si="5"/>
      </c>
      <c r="Q56" s="30">
        <f t="shared" si="6"/>
      </c>
      <c r="R56" s="30">
        <f t="shared" si="7"/>
      </c>
      <c r="S56" s="30">
        <f t="shared" si="8"/>
      </c>
      <c r="T56" s="30">
        <f t="shared" si="9"/>
      </c>
      <c r="U56" s="30">
        <f t="shared" si="10"/>
      </c>
      <c r="V56" s="30">
        <f t="shared" si="11"/>
      </c>
      <c r="W56" s="30">
        <f t="shared" si="12"/>
      </c>
      <c r="X56" s="30">
        <f t="shared" si="13"/>
      </c>
      <c r="AA56" s="30">
        <f t="shared" si="14"/>
      </c>
      <c r="AB56" s="30">
        <f t="shared" si="15"/>
      </c>
      <c r="AC56" s="30">
        <f t="shared" si="16"/>
      </c>
      <c r="AD56" s="30">
        <f t="shared" si="17"/>
      </c>
      <c r="AE56" s="30">
        <f t="shared" si="18"/>
      </c>
      <c r="AF56" s="30">
        <f t="shared" si="19"/>
      </c>
      <c r="AG56" s="30">
        <f t="shared" si="20"/>
      </c>
      <c r="AH56" s="30">
        <f t="shared" si="21"/>
      </c>
      <c r="AI56" s="30">
        <f t="shared" si="22"/>
      </c>
      <c r="AJ56" s="30">
        <f t="shared" si="23"/>
      </c>
      <c r="AM56" s="30">
        <f t="shared" si="24"/>
      </c>
      <c r="AN56" s="30">
        <f t="shared" si="25"/>
      </c>
      <c r="AO56" s="30">
        <f t="shared" si="26"/>
      </c>
      <c r="AP56" s="30">
        <f t="shared" si="27"/>
      </c>
      <c r="AQ56" s="30">
        <f t="shared" si="28"/>
      </c>
      <c r="AR56" s="30">
        <f t="shared" si="29"/>
      </c>
      <c r="AS56" s="30">
        <f t="shared" si="30"/>
      </c>
      <c r="AT56" s="30">
        <f t="shared" si="31"/>
      </c>
      <c r="AU56" s="30">
        <f t="shared" si="32"/>
      </c>
      <c r="AV56" s="38">
        <f t="shared" si="33"/>
      </c>
      <c r="AW56" s="33">
        <f t="shared" si="34"/>
      </c>
      <c r="AX56" s="33">
        <f t="shared" si="35"/>
      </c>
      <c r="AY56" s="30">
        <f t="shared" si="59"/>
      </c>
      <c r="AZ56" s="30">
        <f t="shared" si="36"/>
      </c>
      <c r="BA56" s="30">
        <f t="shared" si="37"/>
      </c>
      <c r="BB56" s="30">
        <f t="shared" si="38"/>
      </c>
      <c r="BC56" s="30">
        <f t="shared" si="39"/>
      </c>
      <c r="BD56" s="30">
        <f t="shared" si="40"/>
      </c>
      <c r="BE56" s="30">
        <f t="shared" si="41"/>
      </c>
      <c r="BF56" s="30">
        <f t="shared" si="42"/>
      </c>
      <c r="BG56" s="30">
        <f t="shared" si="43"/>
      </c>
      <c r="BH56" s="38">
        <f t="shared" si="44"/>
      </c>
    </row>
    <row r="57" spans="1:60" ht="12.75">
      <c r="A57" s="2"/>
      <c r="B57" s="2" t="s">
        <v>88</v>
      </c>
      <c r="C57" s="4"/>
      <c r="D57" s="4"/>
      <c r="E57" s="4"/>
      <c r="F57" s="4"/>
      <c r="G57" s="4"/>
      <c r="H57" s="4"/>
      <c r="I57" s="4"/>
      <c r="J57" s="4"/>
      <c r="K57" s="4"/>
      <c r="L57" s="4"/>
      <c r="O57" s="30">
        <f t="shared" si="4"/>
      </c>
      <c r="P57" s="30">
        <f t="shared" si="5"/>
      </c>
      <c r="Q57" s="30">
        <f t="shared" si="6"/>
      </c>
      <c r="R57" s="30">
        <f t="shared" si="7"/>
      </c>
      <c r="S57" s="30">
        <f t="shared" si="8"/>
      </c>
      <c r="T57" s="30">
        <f t="shared" si="9"/>
      </c>
      <c r="U57" s="30">
        <f t="shared" si="10"/>
      </c>
      <c r="V57" s="30">
        <f t="shared" si="11"/>
      </c>
      <c r="W57" s="30">
        <f t="shared" si="12"/>
      </c>
      <c r="X57" s="30">
        <f t="shared" si="13"/>
      </c>
      <c r="AA57" s="30">
        <f t="shared" si="14"/>
      </c>
      <c r="AB57" s="30">
        <f t="shared" si="15"/>
      </c>
      <c r="AC57" s="30">
        <f t="shared" si="16"/>
      </c>
      <c r="AD57" s="30">
        <f t="shared" si="17"/>
      </c>
      <c r="AE57" s="30">
        <f t="shared" si="18"/>
      </c>
      <c r="AF57" s="30">
        <f t="shared" si="19"/>
      </c>
      <c r="AG57" s="30">
        <f t="shared" si="20"/>
      </c>
      <c r="AH57" s="30">
        <f t="shared" si="21"/>
      </c>
      <c r="AI57" s="30">
        <f t="shared" si="22"/>
      </c>
      <c r="AJ57" s="30">
        <f t="shared" si="23"/>
      </c>
      <c r="AM57" s="30">
        <f t="shared" si="24"/>
      </c>
      <c r="AN57" s="30">
        <f t="shared" si="25"/>
      </c>
      <c r="AO57" s="30">
        <f t="shared" si="26"/>
      </c>
      <c r="AP57" s="30">
        <f t="shared" si="27"/>
      </c>
      <c r="AQ57" s="30">
        <f t="shared" si="28"/>
      </c>
      <c r="AR57" s="30">
        <f t="shared" si="29"/>
      </c>
      <c r="AS57" s="30">
        <f t="shared" si="30"/>
      </c>
      <c r="AT57" s="30">
        <f t="shared" si="31"/>
      </c>
      <c r="AU57" s="30">
        <f t="shared" si="32"/>
      </c>
      <c r="AV57" s="38">
        <f t="shared" si="33"/>
      </c>
      <c r="AW57" s="33">
        <f t="shared" si="34"/>
      </c>
      <c r="AX57" s="33">
        <f t="shared" si="35"/>
      </c>
      <c r="AY57" s="30">
        <f t="shared" si="59"/>
      </c>
      <c r="AZ57" s="30">
        <f t="shared" si="36"/>
      </c>
      <c r="BA57" s="30">
        <f t="shared" si="37"/>
      </c>
      <c r="BB57" s="30">
        <f t="shared" si="38"/>
      </c>
      <c r="BC57" s="30">
        <f t="shared" si="39"/>
      </c>
      <c r="BD57" s="30">
        <f t="shared" si="40"/>
      </c>
      <c r="BE57" s="30">
        <f t="shared" si="41"/>
      </c>
      <c r="BF57" s="30">
        <f t="shared" si="42"/>
      </c>
      <c r="BG57" s="30">
        <f t="shared" si="43"/>
      </c>
      <c r="BH57" s="38">
        <f t="shared" si="44"/>
      </c>
    </row>
    <row r="58" spans="1:60" ht="12.75">
      <c r="A58" s="2"/>
      <c r="B58" s="2">
        <f>IF(Calculator!E34="","",Calculator!E34)</f>
        <v>20</v>
      </c>
      <c r="C58" s="4">
        <f>IF(OR(C$8&gt;NmE,$B58=""),"",cdf(SumBV-C$56*(BsVc3-$B58)))</f>
        <v>0.9241603087469398</v>
      </c>
      <c r="D58" s="4">
        <f aca="true" t="shared" si="66" ref="D58:L62">IF(OR(D$8&gt;NmE,$B58=""),"",cdf(SumBV-D$56*(BsVc3-$B58)))</f>
        <v>0.7032110189060486</v>
      </c>
      <c r="E58" s="4">
        <f t="shared" si="66"/>
        <v>0.2317528158457156</v>
      </c>
      <c r="F58" s="4">
        <f t="shared" si="66"/>
      </c>
      <c r="G58" s="4">
        <f t="shared" si="66"/>
      </c>
      <c r="H58" s="4">
        <f t="shared" si="66"/>
      </c>
      <c r="I58" s="4">
        <f t="shared" si="66"/>
      </c>
      <c r="J58" s="4">
        <f t="shared" si="66"/>
      </c>
      <c r="K58" s="4">
        <f t="shared" si="66"/>
      </c>
      <c r="L58" s="4">
        <f t="shared" si="66"/>
      </c>
      <c r="O58" s="30">
        <f t="shared" si="4"/>
      </c>
      <c r="P58" s="30">
        <f t="shared" si="5"/>
      </c>
      <c r="Q58" s="30">
        <f t="shared" si="6"/>
      </c>
      <c r="R58" s="30">
        <f t="shared" si="7"/>
      </c>
      <c r="S58" s="30">
        <f t="shared" si="8"/>
      </c>
      <c r="T58" s="30">
        <f t="shared" si="9"/>
      </c>
      <c r="U58" s="30">
        <f t="shared" si="10"/>
      </c>
      <c r="V58" s="30">
        <f t="shared" si="11"/>
      </c>
      <c r="W58" s="30">
        <f t="shared" si="12"/>
      </c>
      <c r="X58" s="30">
        <f t="shared" si="13"/>
      </c>
      <c r="AA58" s="30">
        <f t="shared" si="14"/>
      </c>
      <c r="AB58" s="30">
        <f t="shared" si="15"/>
      </c>
      <c r="AC58" s="30">
        <f t="shared" si="16"/>
      </c>
      <c r="AD58" s="30">
        <f t="shared" si="17"/>
      </c>
      <c r="AE58" s="30">
        <f t="shared" si="18"/>
      </c>
      <c r="AF58" s="30">
        <f t="shared" si="19"/>
      </c>
      <c r="AG58" s="30">
        <f t="shared" si="20"/>
      </c>
      <c r="AH58" s="30">
        <f t="shared" si="21"/>
      </c>
      <c r="AI58" s="30">
        <f t="shared" si="22"/>
      </c>
      <c r="AJ58" s="30">
        <f t="shared" si="23"/>
      </c>
      <c r="AM58" s="30">
        <f t="shared" si="24"/>
      </c>
      <c r="AN58" s="30">
        <f t="shared" si="25"/>
      </c>
      <c r="AO58" s="30">
        <f t="shared" si="26"/>
      </c>
      <c r="AP58" s="30">
        <f t="shared" si="27"/>
      </c>
      <c r="AQ58" s="30">
        <f t="shared" si="28"/>
      </c>
      <c r="AR58" s="30">
        <f t="shared" si="29"/>
      </c>
      <c r="AS58" s="30">
        <f t="shared" si="30"/>
      </c>
      <c r="AT58" s="30">
        <f t="shared" si="31"/>
      </c>
      <c r="AU58" s="30">
        <f t="shared" si="32"/>
      </c>
      <c r="AV58" s="38">
        <f t="shared" si="33"/>
      </c>
      <c r="AW58" s="33">
        <f t="shared" si="34"/>
      </c>
      <c r="AX58" s="33">
        <f t="shared" si="35"/>
      </c>
      <c r="AY58" s="30">
        <f t="shared" si="59"/>
      </c>
      <c r="AZ58" s="30">
        <f t="shared" si="36"/>
      </c>
      <c r="BA58" s="30">
        <f t="shared" si="37"/>
      </c>
      <c r="BB58" s="30">
        <f t="shared" si="38"/>
      </c>
      <c r="BC58" s="30">
        <f t="shared" si="39"/>
      </c>
      <c r="BD58" s="30">
        <f t="shared" si="40"/>
      </c>
      <c r="BE58" s="30">
        <f t="shared" si="41"/>
      </c>
      <c r="BF58" s="30">
        <f t="shared" si="42"/>
      </c>
      <c r="BG58" s="30">
        <f t="shared" si="43"/>
      </c>
      <c r="BH58" s="38">
        <f t="shared" si="44"/>
      </c>
    </row>
    <row r="59" spans="1:60" ht="12.75">
      <c r="A59" s="2"/>
      <c r="B59" s="2">
        <f>IF(Calculator!E35="","",Calculator!E35)</f>
        <v>30</v>
      </c>
      <c r="C59" s="4">
        <f>IF(OR(C$8&gt;NmE,$B59=""),"",cdf(SumBV-C$56*(BsVc3-$B59)))</f>
        <v>0.9118774996029223</v>
      </c>
      <c r="D59" s="4">
        <f t="shared" si="66"/>
        <v>0.6485955813128284</v>
      </c>
      <c r="E59" s="4">
        <f t="shared" si="66"/>
        <v>0.20015239233915547</v>
      </c>
      <c r="F59" s="4">
        <f t="shared" si="66"/>
      </c>
      <c r="G59" s="4">
        <f t="shared" si="66"/>
      </c>
      <c r="H59" s="4">
        <f t="shared" si="66"/>
      </c>
      <c r="I59" s="4">
        <f t="shared" si="66"/>
      </c>
      <c r="J59" s="4">
        <f t="shared" si="66"/>
      </c>
      <c r="K59" s="4">
        <f t="shared" si="66"/>
      </c>
      <c r="L59" s="4">
        <f t="shared" si="66"/>
      </c>
      <c r="O59" s="30">
        <f t="shared" si="4"/>
      </c>
      <c r="P59" s="30">
        <f t="shared" si="5"/>
      </c>
      <c r="Q59" s="30">
        <f t="shared" si="6"/>
      </c>
      <c r="R59" s="30">
        <f t="shared" si="7"/>
      </c>
      <c r="S59" s="30">
        <f t="shared" si="8"/>
      </c>
      <c r="T59" s="30">
        <f t="shared" si="9"/>
      </c>
      <c r="U59" s="30">
        <f t="shared" si="10"/>
      </c>
      <c r="V59" s="30">
        <f t="shared" si="11"/>
      </c>
      <c r="W59" s="30">
        <f t="shared" si="12"/>
      </c>
      <c r="X59" s="30">
        <f t="shared" si="13"/>
      </c>
      <c r="AA59" s="30">
        <f t="shared" si="14"/>
      </c>
      <c r="AB59" s="30">
        <f t="shared" si="15"/>
      </c>
      <c r="AC59" s="30">
        <f t="shared" si="16"/>
      </c>
      <c r="AD59" s="30">
        <f t="shared" si="17"/>
      </c>
      <c r="AE59" s="30">
        <f t="shared" si="18"/>
      </c>
      <c r="AF59" s="30">
        <f t="shared" si="19"/>
      </c>
      <c r="AG59" s="30">
        <f t="shared" si="20"/>
      </c>
      <c r="AH59" s="30">
        <f t="shared" si="21"/>
      </c>
      <c r="AI59" s="30">
        <f t="shared" si="22"/>
      </c>
      <c r="AJ59" s="30">
        <f t="shared" si="23"/>
      </c>
      <c r="AM59" s="30">
        <f t="shared" si="24"/>
      </c>
      <c r="AN59" s="30">
        <f t="shared" si="25"/>
      </c>
      <c r="AO59" s="30">
        <f t="shared" si="26"/>
      </c>
      <c r="AP59" s="30">
        <f t="shared" si="27"/>
      </c>
      <c r="AQ59" s="30">
        <f t="shared" si="28"/>
      </c>
      <c r="AR59" s="30">
        <f t="shared" si="29"/>
      </c>
      <c r="AS59" s="30">
        <f t="shared" si="30"/>
      </c>
      <c r="AT59" s="30">
        <f t="shared" si="31"/>
      </c>
      <c r="AU59" s="30">
        <f t="shared" si="32"/>
      </c>
      <c r="AV59" s="38">
        <f t="shared" si="33"/>
      </c>
      <c r="AW59" s="33">
        <f t="shared" si="34"/>
      </c>
      <c r="AX59" s="33">
        <f t="shared" si="35"/>
      </c>
      <c r="AY59" s="30">
        <f t="shared" si="59"/>
      </c>
      <c r="AZ59" s="30">
        <f t="shared" si="36"/>
      </c>
      <c r="BA59" s="30">
        <f t="shared" si="37"/>
      </c>
      <c r="BB59" s="30">
        <f t="shared" si="38"/>
      </c>
      <c r="BC59" s="30">
        <f t="shared" si="39"/>
      </c>
      <c r="BD59" s="30">
        <f t="shared" si="40"/>
      </c>
      <c r="BE59" s="30">
        <f t="shared" si="41"/>
      </c>
      <c r="BF59" s="30">
        <f t="shared" si="42"/>
      </c>
      <c r="BG59" s="30">
        <f t="shared" si="43"/>
      </c>
      <c r="BH59" s="38">
        <f t="shared" si="44"/>
      </c>
    </row>
    <row r="60" spans="1:60" ht="12.75">
      <c r="A60" s="2"/>
      <c r="B60" s="2">
        <f>IF(Calculator!E36="","",Calculator!E36)</f>
        <v>40</v>
      </c>
      <c r="C60" s="4">
        <f>IF(OR(C$8&gt;NmE,$B60=""),"",cdf(SumBV-C$56*(BsVc3-$B60)))</f>
        <v>0.8978253322320824</v>
      </c>
      <c r="D60" s="4">
        <f t="shared" si="66"/>
        <v>0.5897924951878191</v>
      </c>
      <c r="E60" s="4">
        <f t="shared" si="66"/>
        <v>0.1718967012897919</v>
      </c>
      <c r="F60" s="4">
        <f t="shared" si="66"/>
      </c>
      <c r="G60" s="4">
        <f t="shared" si="66"/>
      </c>
      <c r="H60" s="4">
        <f t="shared" si="66"/>
      </c>
      <c r="I60" s="4">
        <f t="shared" si="66"/>
      </c>
      <c r="J60" s="4">
        <f t="shared" si="66"/>
      </c>
      <c r="K60" s="4">
        <f t="shared" si="66"/>
      </c>
      <c r="L60" s="4">
        <f t="shared" si="66"/>
      </c>
      <c r="O60" s="30">
        <f t="shared" si="4"/>
      </c>
      <c r="P60" s="30">
        <f t="shared" si="5"/>
      </c>
      <c r="Q60" s="30">
        <f t="shared" si="6"/>
      </c>
      <c r="R60" s="30">
        <f t="shared" si="7"/>
      </c>
      <c r="S60" s="30">
        <f t="shared" si="8"/>
      </c>
      <c r="T60" s="30">
        <f t="shared" si="9"/>
      </c>
      <c r="U60" s="30">
        <f t="shared" si="10"/>
      </c>
      <c r="V60" s="30">
        <f t="shared" si="11"/>
      </c>
      <c r="W60" s="30">
        <f t="shared" si="12"/>
      </c>
      <c r="X60" s="30">
        <f t="shared" si="13"/>
      </c>
      <c r="AA60" s="30">
        <f t="shared" si="14"/>
      </c>
      <c r="AB60" s="30">
        <f t="shared" si="15"/>
      </c>
      <c r="AC60" s="30">
        <f t="shared" si="16"/>
      </c>
      <c r="AD60" s="30">
        <f t="shared" si="17"/>
      </c>
      <c r="AE60" s="30">
        <f t="shared" si="18"/>
      </c>
      <c r="AF60" s="30">
        <f t="shared" si="19"/>
      </c>
      <c r="AG60" s="30">
        <f t="shared" si="20"/>
      </c>
      <c r="AH60" s="30">
        <f t="shared" si="21"/>
      </c>
      <c r="AI60" s="30">
        <f t="shared" si="22"/>
      </c>
      <c r="AJ60" s="30">
        <f t="shared" si="23"/>
      </c>
      <c r="AM60" s="30">
        <f t="shared" si="24"/>
      </c>
      <c r="AN60" s="30">
        <f t="shared" si="25"/>
      </c>
      <c r="AO60" s="30">
        <f t="shared" si="26"/>
      </c>
      <c r="AP60" s="30">
        <f t="shared" si="27"/>
      </c>
      <c r="AQ60" s="30">
        <f t="shared" si="28"/>
      </c>
      <c r="AR60" s="30">
        <f t="shared" si="29"/>
      </c>
      <c r="AS60" s="30">
        <f t="shared" si="30"/>
      </c>
      <c r="AT60" s="30">
        <f t="shared" si="31"/>
      </c>
      <c r="AU60" s="30">
        <f t="shared" si="32"/>
      </c>
      <c r="AV60" s="38">
        <f t="shared" si="33"/>
      </c>
      <c r="AW60" s="33">
        <f t="shared" si="34"/>
      </c>
      <c r="AX60" s="33">
        <f t="shared" si="35"/>
      </c>
      <c r="AY60" s="30">
        <f t="shared" si="59"/>
      </c>
      <c r="AZ60" s="30">
        <f t="shared" si="36"/>
      </c>
      <c r="BA60" s="30">
        <f t="shared" si="37"/>
      </c>
      <c r="BB60" s="30">
        <f t="shared" si="38"/>
      </c>
      <c r="BC60" s="30">
        <f t="shared" si="39"/>
      </c>
      <c r="BD60" s="30">
        <f t="shared" si="40"/>
      </c>
      <c r="BE60" s="30">
        <f t="shared" si="41"/>
      </c>
      <c r="BF60" s="30">
        <f t="shared" si="42"/>
      </c>
      <c r="BG60" s="30">
        <f t="shared" si="43"/>
      </c>
      <c r="BH60" s="38">
        <f t="shared" si="44"/>
      </c>
    </row>
    <row r="61" spans="1:60" ht="12.75">
      <c r="A61" s="2"/>
      <c r="B61" s="2">
        <f>IF(Calculator!E37="","",Calculator!E37)</f>
        <v>50</v>
      </c>
      <c r="C61" s="4">
        <f>IF(OR(C$8&gt;NmE,$B61=""),"",cdf(SumBV-C$56*(BsVc3-$B61)))</f>
        <v>0.8818227820935571</v>
      </c>
      <c r="D61" s="4">
        <f t="shared" si="66"/>
        <v>0.5283056112426744</v>
      </c>
      <c r="E61" s="4">
        <f t="shared" si="66"/>
        <v>0.14689730685202246</v>
      </c>
      <c r="F61" s="4">
        <f t="shared" si="66"/>
      </c>
      <c r="G61" s="4">
        <f t="shared" si="66"/>
      </c>
      <c r="H61" s="4">
        <f t="shared" si="66"/>
      </c>
      <c r="I61" s="4">
        <f t="shared" si="66"/>
      </c>
      <c r="J61" s="4">
        <f t="shared" si="66"/>
      </c>
      <c r="K61" s="4">
        <f t="shared" si="66"/>
      </c>
      <c r="L61" s="4">
        <f t="shared" si="66"/>
      </c>
      <c r="O61" s="30">
        <f t="shared" si="4"/>
      </c>
      <c r="P61" s="30">
        <f t="shared" si="5"/>
      </c>
      <c r="Q61" s="30">
        <f t="shared" si="6"/>
      </c>
      <c r="R61" s="30">
        <f t="shared" si="7"/>
      </c>
      <c r="S61" s="30">
        <f t="shared" si="8"/>
      </c>
      <c r="T61" s="30">
        <f t="shared" si="9"/>
      </c>
      <c r="U61" s="30">
        <f t="shared" si="10"/>
      </c>
      <c r="V61" s="30">
        <f t="shared" si="11"/>
      </c>
      <c r="W61" s="30">
        <f t="shared" si="12"/>
      </c>
      <c r="X61" s="30">
        <f t="shared" si="13"/>
      </c>
      <c r="AA61" s="30">
        <f t="shared" si="14"/>
      </c>
      <c r="AB61" s="30">
        <f t="shared" si="15"/>
      </c>
      <c r="AC61" s="30">
        <f t="shared" si="16"/>
      </c>
      <c r="AD61" s="30">
        <f t="shared" si="17"/>
      </c>
      <c r="AE61" s="30">
        <f t="shared" si="18"/>
      </c>
      <c r="AF61" s="30">
        <f t="shared" si="19"/>
      </c>
      <c r="AG61" s="30">
        <f t="shared" si="20"/>
      </c>
      <c r="AH61" s="30">
        <f t="shared" si="21"/>
      </c>
      <c r="AI61" s="30">
        <f t="shared" si="22"/>
      </c>
      <c r="AJ61" s="30">
        <f t="shared" si="23"/>
      </c>
      <c r="AM61" s="30">
        <f t="shared" si="24"/>
      </c>
      <c r="AN61" s="30">
        <f t="shared" si="25"/>
      </c>
      <c r="AO61" s="30">
        <f t="shared" si="26"/>
      </c>
      <c r="AP61" s="30">
        <f t="shared" si="27"/>
      </c>
      <c r="AQ61" s="30">
        <f t="shared" si="28"/>
      </c>
      <c r="AR61" s="30">
        <f t="shared" si="29"/>
      </c>
      <c r="AS61" s="30">
        <f t="shared" si="30"/>
      </c>
      <c r="AT61" s="30">
        <f t="shared" si="31"/>
      </c>
      <c r="AU61" s="30">
        <f t="shared" si="32"/>
      </c>
      <c r="AV61" s="38">
        <f t="shared" si="33"/>
      </c>
      <c r="AW61" s="33">
        <f t="shared" si="34"/>
      </c>
      <c r="AX61" s="33">
        <f t="shared" si="35"/>
      </c>
      <c r="AY61" s="30">
        <f t="shared" si="59"/>
      </c>
      <c r="AZ61" s="30">
        <f t="shared" si="36"/>
      </c>
      <c r="BA61" s="30">
        <f t="shared" si="37"/>
      </c>
      <c r="BB61" s="30">
        <f t="shared" si="38"/>
      </c>
      <c r="BC61" s="30">
        <f t="shared" si="39"/>
      </c>
      <c r="BD61" s="30">
        <f t="shared" si="40"/>
      </c>
      <c r="BE61" s="30">
        <f t="shared" si="41"/>
      </c>
      <c r="BF61" s="30">
        <f t="shared" si="42"/>
      </c>
      <c r="BG61" s="30">
        <f t="shared" si="43"/>
      </c>
      <c r="BH61" s="38">
        <f t="shared" si="44"/>
      </c>
    </row>
    <row r="62" spans="1:60" ht="12.75">
      <c r="A62" s="2"/>
      <c r="B62" s="2">
        <f>IF(Calculator!E38="","",Calculator!E38)</f>
        <v>60</v>
      </c>
      <c r="C62" s="4">
        <f>IF(OR(C$8&gt;NmE,$B62=""),"",cdf(SumBV-C$56*(BsVc3-$B62)))</f>
        <v>0.8636944217989342</v>
      </c>
      <c r="D62" s="4">
        <f t="shared" si="66"/>
        <v>0.46594770228230264</v>
      </c>
      <c r="E62" s="4">
        <f t="shared" si="66"/>
        <v>0.12498490353749668</v>
      </c>
      <c r="F62" s="4">
        <f t="shared" si="66"/>
      </c>
      <c r="G62" s="4">
        <f t="shared" si="66"/>
      </c>
      <c r="H62" s="4">
        <f t="shared" si="66"/>
      </c>
      <c r="I62" s="4">
        <f t="shared" si="66"/>
      </c>
      <c r="J62" s="4">
        <f t="shared" si="66"/>
      </c>
      <c r="K62" s="4">
        <f t="shared" si="66"/>
      </c>
      <c r="L62" s="4">
        <f t="shared" si="66"/>
      </c>
      <c r="O62" s="30">
        <f t="shared" si="4"/>
      </c>
      <c r="P62" s="30">
        <f t="shared" si="5"/>
      </c>
      <c r="Q62" s="30">
        <f t="shared" si="6"/>
      </c>
      <c r="R62" s="30">
        <f t="shared" si="7"/>
      </c>
      <c r="S62" s="30">
        <f t="shared" si="8"/>
      </c>
      <c r="T62" s="30">
        <f t="shared" si="9"/>
      </c>
      <c r="U62" s="30">
        <f t="shared" si="10"/>
      </c>
      <c r="V62" s="30">
        <f t="shared" si="11"/>
      </c>
      <c r="W62" s="30">
        <f t="shared" si="12"/>
      </c>
      <c r="X62" s="30">
        <f t="shared" si="13"/>
      </c>
      <c r="AA62" s="30">
        <f t="shared" si="14"/>
      </c>
      <c r="AB62" s="30">
        <f t="shared" si="15"/>
      </c>
      <c r="AC62" s="30">
        <f t="shared" si="16"/>
      </c>
      <c r="AD62" s="30">
        <f t="shared" si="17"/>
      </c>
      <c r="AE62" s="30">
        <f t="shared" si="18"/>
      </c>
      <c r="AF62" s="30">
        <f t="shared" si="19"/>
      </c>
      <c r="AG62" s="30">
        <f t="shared" si="20"/>
      </c>
      <c r="AH62" s="30">
        <f t="shared" si="21"/>
      </c>
      <c r="AI62" s="30">
        <f t="shared" si="22"/>
      </c>
      <c r="AJ62" s="30">
        <f t="shared" si="23"/>
      </c>
      <c r="AM62" s="30">
        <f t="shared" si="24"/>
      </c>
      <c r="AN62" s="30">
        <f t="shared" si="25"/>
      </c>
      <c r="AO62" s="30">
        <f t="shared" si="26"/>
      </c>
      <c r="AP62" s="30">
        <f t="shared" si="27"/>
      </c>
      <c r="AQ62" s="30">
        <f t="shared" si="28"/>
      </c>
      <c r="AR62" s="30">
        <f t="shared" si="29"/>
      </c>
      <c r="AS62" s="30">
        <f t="shared" si="30"/>
      </c>
      <c r="AT62" s="30">
        <f t="shared" si="31"/>
      </c>
      <c r="AU62" s="30">
        <f t="shared" si="32"/>
      </c>
      <c r="AV62" s="38">
        <f t="shared" si="33"/>
      </c>
      <c r="AW62" s="33">
        <f t="shared" si="34"/>
      </c>
      <c r="AX62" s="33">
        <f t="shared" si="35"/>
      </c>
      <c r="AY62" s="30">
        <f t="shared" si="59"/>
      </c>
      <c r="AZ62" s="30">
        <f t="shared" si="36"/>
      </c>
      <c r="BA62" s="30">
        <f t="shared" si="37"/>
      </c>
      <c r="BB62" s="30">
        <f t="shared" si="38"/>
      </c>
      <c r="BC62" s="30">
        <f t="shared" si="39"/>
      </c>
      <c r="BD62" s="30">
        <f t="shared" si="40"/>
      </c>
      <c r="BE62" s="30">
        <f t="shared" si="41"/>
      </c>
      <c r="BF62" s="30">
        <f t="shared" si="42"/>
      </c>
      <c r="BG62" s="30">
        <f t="shared" si="43"/>
      </c>
      <c r="BH62" s="38">
        <f t="shared" si="44"/>
      </c>
    </row>
    <row r="63" spans="1:60" ht="12.75">
      <c r="A63" s="2"/>
      <c r="B63" s="2" t="s">
        <v>89</v>
      </c>
      <c r="C63" s="4"/>
      <c r="D63" s="4"/>
      <c r="E63" s="4"/>
      <c r="F63" s="4"/>
      <c r="G63" s="4"/>
      <c r="H63" s="4"/>
      <c r="I63" s="4"/>
      <c r="J63" s="4"/>
      <c r="K63" s="4"/>
      <c r="L63" s="4"/>
      <c r="O63" s="30">
        <f t="shared" si="4"/>
      </c>
      <c r="P63" s="30">
        <f t="shared" si="5"/>
      </c>
      <c r="Q63" s="30">
        <f t="shared" si="6"/>
      </c>
      <c r="R63" s="30">
        <f t="shared" si="7"/>
      </c>
      <c r="S63" s="30">
        <f t="shared" si="8"/>
      </c>
      <c r="T63" s="30">
        <f t="shared" si="9"/>
      </c>
      <c r="U63" s="30">
        <f t="shared" si="10"/>
      </c>
      <c r="V63" s="30">
        <f t="shared" si="11"/>
      </c>
      <c r="W63" s="30">
        <f t="shared" si="12"/>
      </c>
      <c r="X63" s="30">
        <f t="shared" si="13"/>
      </c>
      <c r="AA63" s="30">
        <f t="shared" si="14"/>
      </c>
      <c r="AB63" s="30">
        <f t="shared" si="15"/>
      </c>
      <c r="AC63" s="30">
        <f t="shared" si="16"/>
      </c>
      <c r="AD63" s="30">
        <f t="shared" si="17"/>
      </c>
      <c r="AE63" s="30">
        <f t="shared" si="18"/>
      </c>
      <c r="AF63" s="30">
        <f t="shared" si="19"/>
      </c>
      <c r="AG63" s="30">
        <f t="shared" si="20"/>
      </c>
      <c r="AH63" s="30">
        <f t="shared" si="21"/>
      </c>
      <c r="AI63" s="30">
        <f t="shared" si="22"/>
      </c>
      <c r="AJ63" s="30">
        <f t="shared" si="23"/>
      </c>
      <c r="AM63" s="30">
        <f t="shared" si="24"/>
      </c>
      <c r="AN63" s="30">
        <f t="shared" si="25"/>
      </c>
      <c r="AO63" s="30">
        <f t="shared" si="26"/>
      </c>
      <c r="AP63" s="30">
        <f t="shared" si="27"/>
      </c>
      <c r="AQ63" s="30">
        <f t="shared" si="28"/>
      </c>
      <c r="AR63" s="30">
        <f t="shared" si="29"/>
      </c>
      <c r="AS63" s="30">
        <f t="shared" si="30"/>
      </c>
      <c r="AT63" s="30">
        <f t="shared" si="31"/>
      </c>
      <c r="AU63" s="30">
        <f t="shared" si="32"/>
      </c>
      <c r="AV63" s="38">
        <f t="shared" si="33"/>
      </c>
      <c r="AW63" s="33">
        <f t="shared" si="34"/>
      </c>
      <c r="AX63" s="33">
        <f t="shared" si="35"/>
      </c>
      <c r="AY63" s="30">
        <f t="shared" si="59"/>
      </c>
      <c r="AZ63" s="30">
        <f t="shared" si="36"/>
      </c>
      <c r="BA63" s="30">
        <f t="shared" si="37"/>
      </c>
      <c r="BB63" s="30">
        <f t="shared" si="38"/>
      </c>
      <c r="BC63" s="30">
        <f t="shared" si="39"/>
      </c>
      <c r="BD63" s="30">
        <f t="shared" si="40"/>
      </c>
      <c r="BE63" s="30">
        <f t="shared" si="41"/>
      </c>
      <c r="BF63" s="30">
        <f t="shared" si="42"/>
      </c>
      <c r="BG63" s="30">
        <f t="shared" si="43"/>
      </c>
      <c r="BH63" s="38">
        <f t="shared" si="44"/>
      </c>
    </row>
    <row r="64" spans="1:60" ht="12.75">
      <c r="A64" s="2"/>
      <c r="B64" s="2"/>
      <c r="C64" s="4">
        <f>IF(C58="","",1-C58)</f>
        <v>0.07583969125306023</v>
      </c>
      <c r="D64" s="22">
        <f aca="true" t="shared" si="67" ref="D64:L64">IF(D58="",C58,C58-D58)</f>
        <v>0.22094928984089113</v>
      </c>
      <c r="E64" s="22">
        <f t="shared" si="67"/>
        <v>0.47145820306033304</v>
      </c>
      <c r="F64" s="22">
        <f t="shared" si="67"/>
        <v>0.2317528158457156</v>
      </c>
      <c r="G64" s="22">
        <f t="shared" si="67"/>
      </c>
      <c r="H64" s="22">
        <f t="shared" si="67"/>
      </c>
      <c r="I64" s="22">
        <f t="shared" si="67"/>
      </c>
      <c r="J64" s="22">
        <f t="shared" si="67"/>
      </c>
      <c r="K64" s="22">
        <f t="shared" si="67"/>
      </c>
      <c r="L64" s="22">
        <f t="shared" si="67"/>
      </c>
      <c r="O64" s="30">
        <f t="shared" si="4"/>
      </c>
      <c r="P64" s="30">
        <f t="shared" si="5"/>
      </c>
      <c r="Q64" s="30">
        <f t="shared" si="6"/>
      </c>
      <c r="R64" s="30">
        <f t="shared" si="7"/>
      </c>
      <c r="S64" s="30">
        <f t="shared" si="8"/>
      </c>
      <c r="T64" s="30">
        <f t="shared" si="9"/>
      </c>
      <c r="U64" s="30">
        <f t="shared" si="10"/>
      </c>
      <c r="V64" s="30">
        <f t="shared" si="11"/>
      </c>
      <c r="W64" s="30">
        <f t="shared" si="12"/>
      </c>
      <c r="X64" s="30">
        <f t="shared" si="13"/>
      </c>
      <c r="AA64" s="30">
        <f t="shared" si="14"/>
      </c>
      <c r="AB64" s="30">
        <f t="shared" si="15"/>
      </c>
      <c r="AC64" s="30">
        <f t="shared" si="16"/>
      </c>
      <c r="AD64" s="30">
        <f t="shared" si="17"/>
      </c>
      <c r="AE64" s="30">
        <f t="shared" si="18"/>
      </c>
      <c r="AF64" s="30">
        <f t="shared" si="19"/>
      </c>
      <c r="AG64" s="30">
        <f t="shared" si="20"/>
      </c>
      <c r="AH64" s="30">
        <f t="shared" si="21"/>
      </c>
      <c r="AI64" s="30">
        <f t="shared" si="22"/>
      </c>
      <c r="AJ64" s="30">
        <f t="shared" si="23"/>
      </c>
      <c r="AM64" s="30">
        <f t="shared" si="24"/>
      </c>
      <c r="AN64" s="30">
        <f t="shared" si="25"/>
      </c>
      <c r="AO64" s="30">
        <f t="shared" si="26"/>
      </c>
      <c r="AP64" s="30">
        <f t="shared" si="27"/>
      </c>
      <c r="AQ64" s="30">
        <f t="shared" si="28"/>
      </c>
      <c r="AR64" s="30">
        <f t="shared" si="29"/>
      </c>
      <c r="AS64" s="30">
        <f t="shared" si="30"/>
      </c>
      <c r="AT64" s="30">
        <f t="shared" si="31"/>
      </c>
      <c r="AU64" s="30">
        <f t="shared" si="32"/>
      </c>
      <c r="AV64" s="38">
        <f t="shared" si="33"/>
      </c>
      <c r="AW64" s="33">
        <f t="shared" si="34"/>
      </c>
      <c r="AX64" s="33">
        <f t="shared" si="35"/>
      </c>
      <c r="AY64" s="30">
        <f t="shared" si="59"/>
      </c>
      <c r="AZ64" s="30">
        <f t="shared" si="36"/>
      </c>
      <c r="BA64" s="30">
        <f t="shared" si="37"/>
      </c>
      <c r="BB64" s="30">
        <f t="shared" si="38"/>
      </c>
      <c r="BC64" s="30">
        <f t="shared" si="39"/>
      </c>
      <c r="BD64" s="30">
        <f t="shared" si="40"/>
      </c>
      <c r="BE64" s="30">
        <f t="shared" si="41"/>
      </c>
      <c r="BF64" s="30">
        <f t="shared" si="42"/>
      </c>
      <c r="BG64" s="30">
        <f t="shared" si="43"/>
      </c>
      <c r="BH64" s="38">
        <f t="shared" si="44"/>
      </c>
    </row>
    <row r="65" spans="1:60" ht="12.75">
      <c r="A65" s="2"/>
      <c r="B65" s="2"/>
      <c r="C65" s="4">
        <f>IF(C59="","",1-C59)</f>
        <v>0.0881225003970777</v>
      </c>
      <c r="D65" s="22">
        <f aca="true" t="shared" si="68" ref="D65:L65">IF(D59="",C59,C59-D59)</f>
        <v>0.26328191829009395</v>
      </c>
      <c r="E65" s="22">
        <f t="shared" si="68"/>
        <v>0.44844318897367286</v>
      </c>
      <c r="F65" s="22">
        <f t="shared" si="68"/>
        <v>0.20015239233915547</v>
      </c>
      <c r="G65" s="22">
        <f t="shared" si="68"/>
      </c>
      <c r="H65" s="22">
        <f t="shared" si="68"/>
      </c>
      <c r="I65" s="22">
        <f t="shared" si="68"/>
      </c>
      <c r="J65" s="22">
        <f t="shared" si="68"/>
      </c>
      <c r="K65" s="22">
        <f t="shared" si="68"/>
      </c>
      <c r="L65" s="22">
        <f t="shared" si="68"/>
      </c>
      <c r="O65" s="31">
        <f t="shared" si="4"/>
      </c>
      <c r="P65" s="31">
        <f t="shared" si="5"/>
      </c>
      <c r="Q65" s="31">
        <f t="shared" si="6"/>
      </c>
      <c r="R65" s="31">
        <f t="shared" si="7"/>
      </c>
      <c r="S65" s="31">
        <f t="shared" si="8"/>
      </c>
      <c r="T65" s="31">
        <f t="shared" si="9"/>
      </c>
      <c r="U65" s="31">
        <f t="shared" si="10"/>
      </c>
      <c r="V65" s="31">
        <f t="shared" si="11"/>
      </c>
      <c r="W65" s="31">
        <f t="shared" si="12"/>
      </c>
      <c r="X65" s="31">
        <f t="shared" si="13"/>
      </c>
      <c r="AA65" s="31">
        <f t="shared" si="14"/>
      </c>
      <c r="AB65" s="31">
        <f t="shared" si="15"/>
      </c>
      <c r="AC65" s="31">
        <f t="shared" si="16"/>
      </c>
      <c r="AD65" s="31">
        <f t="shared" si="17"/>
      </c>
      <c r="AE65" s="31">
        <f t="shared" si="18"/>
      </c>
      <c r="AF65" s="31">
        <f t="shared" si="19"/>
      </c>
      <c r="AG65" s="31">
        <f t="shared" si="20"/>
      </c>
      <c r="AH65" s="31">
        <f t="shared" si="21"/>
      </c>
      <c r="AI65" s="31">
        <f t="shared" si="22"/>
      </c>
      <c r="AJ65" s="31">
        <f t="shared" si="23"/>
      </c>
      <c r="AM65" s="31">
        <f t="shared" si="24"/>
      </c>
      <c r="AN65" s="31">
        <f t="shared" si="25"/>
      </c>
      <c r="AO65" s="31">
        <f t="shared" si="26"/>
      </c>
      <c r="AP65" s="31">
        <f t="shared" si="27"/>
      </c>
      <c r="AQ65" s="31">
        <f t="shared" si="28"/>
      </c>
      <c r="AR65" s="31">
        <f t="shared" si="29"/>
      </c>
      <c r="AS65" s="31">
        <f t="shared" si="30"/>
      </c>
      <c r="AT65" s="31">
        <f t="shared" si="31"/>
      </c>
      <c r="AU65" s="31">
        <f t="shared" si="32"/>
      </c>
      <c r="AV65" s="39">
        <f t="shared" si="33"/>
      </c>
      <c r="AW65" s="34">
        <f t="shared" si="34"/>
      </c>
      <c r="AX65" s="34">
        <f t="shared" si="35"/>
      </c>
      <c r="AY65" s="31">
        <f t="shared" si="59"/>
      </c>
      <c r="AZ65" s="31">
        <f t="shared" si="36"/>
      </c>
      <c r="BA65" s="31">
        <f t="shared" si="37"/>
      </c>
      <c r="BB65" s="31">
        <f t="shared" si="38"/>
      </c>
      <c r="BC65" s="31">
        <f t="shared" si="39"/>
      </c>
      <c r="BD65" s="31">
        <f t="shared" si="40"/>
      </c>
      <c r="BE65" s="31">
        <f t="shared" si="41"/>
      </c>
      <c r="BF65" s="31">
        <f t="shared" si="42"/>
      </c>
      <c r="BG65" s="31">
        <f t="shared" si="43"/>
      </c>
      <c r="BH65" s="39">
        <f t="shared" si="44"/>
      </c>
    </row>
    <row r="66" spans="1:12" ht="12.75">
      <c r="A66" s="2"/>
      <c r="B66" s="2"/>
      <c r="C66" s="4">
        <f>IF(C60="","",1-C60)</f>
        <v>0.10217466776791762</v>
      </c>
      <c r="D66" s="22">
        <f aca="true" t="shared" si="69" ref="D66:L66">IF(D60="",C60,C60-D60)</f>
        <v>0.3080328370442633</v>
      </c>
      <c r="E66" s="22">
        <f t="shared" si="69"/>
        <v>0.41789579389802717</v>
      </c>
      <c r="F66" s="22">
        <f t="shared" si="69"/>
        <v>0.1718967012897919</v>
      </c>
      <c r="G66" s="22">
        <f t="shared" si="69"/>
      </c>
      <c r="H66" s="22">
        <f t="shared" si="69"/>
      </c>
      <c r="I66" s="22">
        <f t="shared" si="69"/>
      </c>
      <c r="J66" s="22">
        <f t="shared" si="69"/>
      </c>
      <c r="K66" s="22">
        <f t="shared" si="69"/>
      </c>
      <c r="L66" s="22">
        <f t="shared" si="69"/>
      </c>
    </row>
    <row r="67" spans="1:12" ht="12.75">
      <c r="A67" s="2"/>
      <c r="B67" s="2"/>
      <c r="C67" s="4">
        <f>IF(C61="","",1-C61)</f>
        <v>0.11817721790644287</v>
      </c>
      <c r="D67" s="22">
        <f aca="true" t="shared" si="70" ref="D67:L67">IF(D61="",C61,C61-D61)</f>
        <v>0.35351717085088274</v>
      </c>
      <c r="E67" s="22">
        <f t="shared" si="70"/>
        <v>0.38140830439065193</v>
      </c>
      <c r="F67" s="22">
        <f t="shared" si="70"/>
        <v>0.14689730685202246</v>
      </c>
      <c r="G67" s="22">
        <f t="shared" si="70"/>
      </c>
      <c r="H67" s="22">
        <f t="shared" si="70"/>
      </c>
      <c r="I67" s="22">
        <f t="shared" si="70"/>
      </c>
      <c r="J67" s="22">
        <f t="shared" si="70"/>
      </c>
      <c r="K67" s="22">
        <f t="shared" si="70"/>
      </c>
      <c r="L67" s="22">
        <f t="shared" si="70"/>
      </c>
    </row>
    <row r="68" spans="1:12" ht="12.75">
      <c r="A68" s="2"/>
      <c r="B68" s="8"/>
      <c r="C68" s="36">
        <f>IF(C62="","",1-C62)</f>
        <v>0.1363055782010658</v>
      </c>
      <c r="D68" s="21">
        <f aca="true" t="shared" si="71" ref="D68:L68">IF(D62="",C62,C62-D62)</f>
        <v>0.39774671951663154</v>
      </c>
      <c r="E68" s="21">
        <f t="shared" si="71"/>
        <v>0.34096279874480595</v>
      </c>
      <c r="F68" s="21">
        <f t="shared" si="71"/>
        <v>0.12498490353749668</v>
      </c>
      <c r="G68" s="21">
        <f t="shared" si="71"/>
      </c>
      <c r="H68" s="21">
        <f t="shared" si="71"/>
      </c>
      <c r="I68" s="21">
        <f t="shared" si="71"/>
      </c>
      <c r="J68" s="21">
        <f t="shared" si="71"/>
      </c>
      <c r="K68" s="21">
        <f t="shared" si="71"/>
      </c>
      <c r="L68" s="21">
        <f t="shared" si="71"/>
      </c>
    </row>
    <row r="69" spans="1:13" ht="12.75">
      <c r="A69" s="1"/>
      <c r="B69" s="1" t="s">
        <v>50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"/>
    </row>
    <row r="70" spans="1:13" ht="12.75">
      <c r="A70" s="1"/>
      <c r="B70" s="1" t="s">
        <v>95</v>
      </c>
      <c r="C70" s="4">
        <f ca="1">INDIRECT(ADDRESS(Porder,C8+11,1,,"Input"))</f>
        <v>-0.0163486</v>
      </c>
      <c r="D70" s="4">
        <f ca="1">IF(D10="","",INDIRECT(ADDRESS(Porder,D8+11,1,,"Input")))</f>
        <v>-0.0249764</v>
      </c>
      <c r="E70" s="4">
        <f aca="true" ca="1" t="shared" si="72" ref="E70:K70">IF(E10="","",INDIRECT(ADDRESS(Porder,E8+11,1,,"Input")))</f>
        <v>-0.0186902</v>
      </c>
      <c r="F70" s="4">
        <f ca="1" t="shared" si="72"/>
      </c>
      <c r="G70" s="4">
        <f ca="1" t="shared" si="72"/>
      </c>
      <c r="H70" s="4">
        <f ca="1" t="shared" si="72"/>
      </c>
      <c r="I70" s="4">
        <f ca="1" t="shared" si="72"/>
      </c>
      <c r="J70" s="4">
        <f ca="1" t="shared" si="72"/>
      </c>
      <c r="K70" s="4">
        <f ca="1" t="shared" si="72"/>
      </c>
      <c r="L70" s="4"/>
      <c r="M70" s="1"/>
    </row>
    <row r="71" spans="1:13" ht="12.75">
      <c r="A71" s="1"/>
      <c r="B71" s="1" t="s">
        <v>53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"/>
    </row>
    <row r="72" spans="1:13" ht="12.75">
      <c r="A72" s="1"/>
      <c r="B72" s="32">
        <f>StartV</f>
        <v>10</v>
      </c>
      <c r="C72" s="4">
        <f>cdf(C11-C70*(PBsV-$B72))</f>
        <v>0.93485340934227</v>
      </c>
      <c r="D72" s="4">
        <f>IF(OR(D$8&gt;NmE,$B72=""),"",cdf(D11-D70*(PBsV-$B72)))</f>
        <v>0.7525762061190133</v>
      </c>
      <c r="E72" s="4">
        <f aca="true" t="shared" si="73" ref="E72:K72">IF(OR(E$8&gt;NmE,$B72=""),"",cdf(E11-E70*(PBsV-$B72)))</f>
        <v>0.26667893417890476</v>
      </c>
      <c r="F72" s="4">
        <f t="shared" si="73"/>
      </c>
      <c r="G72" s="4">
        <f t="shared" si="73"/>
      </c>
      <c r="H72" s="4">
        <f t="shared" si="73"/>
      </c>
      <c r="I72" s="4">
        <f t="shared" si="73"/>
      </c>
      <c r="J72" s="4">
        <f t="shared" si="73"/>
      </c>
      <c r="K72" s="4">
        <f t="shared" si="73"/>
      </c>
      <c r="L72" s="4">
        <f>IF(OR(L$8&gt;NmE,$B72=""),"",cdf(L11-L70*(PBsV-$B72)))</f>
      </c>
      <c r="M72" s="1"/>
    </row>
    <row r="73" spans="1:13" ht="12.75">
      <c r="A73" s="1"/>
      <c r="B73" s="32">
        <f>IF(B72&lt;EndV,B72+Dis,"")</f>
        <v>16.666666666666668</v>
      </c>
      <c r="C73" s="4">
        <f>IF($B73="","",cdf(C$11-C$70*(PBsV-$B73)))</f>
        <v>0.9278925851635965</v>
      </c>
      <c r="D73" s="4">
        <f aca="true" t="shared" si="74" ref="D73:D91">IF(OR(D$8&gt;NmE,$B73=""),"",cdf(D$11-D$70*(PBsV-$B73)))</f>
        <v>0.7202879331176061</v>
      </c>
      <c r="E73" s="4">
        <f aca="true" t="shared" si="75" ref="E73:L88">IF(OR(E$8&gt;NmE,$B73=""),"",cdf(E$11-E$70*(PBsV-$B73)))</f>
        <v>0.2430298557132206</v>
      </c>
      <c r="F73" s="4">
        <f t="shared" si="75"/>
      </c>
      <c r="G73" s="4">
        <f t="shared" si="75"/>
      </c>
      <c r="H73" s="4">
        <f t="shared" si="75"/>
      </c>
      <c r="I73" s="4">
        <f t="shared" si="75"/>
      </c>
      <c r="J73" s="4">
        <f t="shared" si="75"/>
      </c>
      <c r="K73" s="4">
        <f t="shared" si="75"/>
      </c>
      <c r="L73" s="4">
        <f t="shared" si="75"/>
      </c>
      <c r="M73" s="1"/>
    </row>
    <row r="74" spans="1:13" ht="12.75">
      <c r="A74" s="1"/>
      <c r="B74" s="33">
        <f aca="true" t="shared" si="76" ref="B74:B91">IF(B73&lt;EndV,B73+Dis,"")</f>
        <v>23.333333333333336</v>
      </c>
      <c r="C74" s="4">
        <f aca="true" t="shared" si="77" ref="C74:C91">IF($B74="","",cdf(C$11-C$70*(PBsV-$B74)))</f>
        <v>0.9202514531139911</v>
      </c>
      <c r="D74" s="4">
        <f t="shared" si="74"/>
        <v>0.6855466822463611</v>
      </c>
      <c r="E74" s="4">
        <f t="shared" si="75"/>
        <v>0.2208463857834527</v>
      </c>
      <c r="F74" s="4">
        <f t="shared" si="75"/>
      </c>
      <c r="G74" s="4">
        <f t="shared" si="75"/>
      </c>
      <c r="H74" s="4">
        <f t="shared" si="75"/>
      </c>
      <c r="I74" s="4">
        <f t="shared" si="75"/>
      </c>
      <c r="J74" s="4">
        <f t="shared" si="75"/>
      </c>
      <c r="K74" s="4">
        <f t="shared" si="75"/>
      </c>
      <c r="L74" s="4">
        <f t="shared" si="75"/>
      </c>
      <c r="M74" s="1"/>
    </row>
    <row r="75" spans="1:13" ht="12.75">
      <c r="A75" s="1"/>
      <c r="B75" s="33">
        <f t="shared" si="76"/>
        <v>30.000000000000004</v>
      </c>
      <c r="C75" s="4">
        <f t="shared" si="77"/>
        <v>0.9118774996029223</v>
      </c>
      <c r="D75" s="4">
        <f t="shared" si="74"/>
        <v>0.6485955813128282</v>
      </c>
      <c r="E75" s="4">
        <f t="shared" si="75"/>
        <v>0.20015239233915547</v>
      </c>
      <c r="F75" s="4">
        <f t="shared" si="75"/>
      </c>
      <c r="G75" s="4">
        <f t="shared" si="75"/>
      </c>
      <c r="H75" s="4">
        <f t="shared" si="75"/>
      </c>
      <c r="I75" s="4">
        <f t="shared" si="75"/>
      </c>
      <c r="J75" s="4">
        <f t="shared" si="75"/>
      </c>
      <c r="K75" s="4">
        <f t="shared" si="75"/>
      </c>
      <c r="L75" s="4">
        <f t="shared" si="75"/>
      </c>
      <c r="M75" s="1"/>
    </row>
    <row r="76" spans="1:13" ht="12.75">
      <c r="A76" s="1"/>
      <c r="B76" s="33">
        <f t="shared" si="76"/>
        <v>36.66666666666667</v>
      </c>
      <c r="C76" s="4">
        <f t="shared" si="77"/>
        <v>0.9027171975375469</v>
      </c>
      <c r="D76" s="4">
        <f t="shared" si="74"/>
        <v>0.6097739903432775</v>
      </c>
      <c r="E76" s="4">
        <f t="shared" si="75"/>
        <v>0.18094716447577688</v>
      </c>
      <c r="F76" s="4">
        <f t="shared" si="75"/>
      </c>
      <c r="G76" s="4">
        <f t="shared" si="75"/>
      </c>
      <c r="H76" s="4">
        <f t="shared" si="75"/>
      </c>
      <c r="I76" s="4">
        <f t="shared" si="75"/>
      </c>
      <c r="J76" s="4">
        <f t="shared" si="75"/>
      </c>
      <c r="K76" s="4">
        <f t="shared" si="75"/>
      </c>
      <c r="L76" s="4">
        <f t="shared" si="75"/>
      </c>
      <c r="M76" s="1"/>
    </row>
    <row r="77" spans="1:13" ht="12.75">
      <c r="A77" s="1"/>
      <c r="B77" s="33">
        <f t="shared" si="76"/>
        <v>43.333333333333336</v>
      </c>
      <c r="C77" s="4">
        <f t="shared" si="77"/>
        <v>0.8927167138383802</v>
      </c>
      <c r="D77" s="4">
        <f t="shared" si="74"/>
        <v>0.5695101758180733</v>
      </c>
      <c r="E77" s="4">
        <f t="shared" si="75"/>
        <v>0.16320871350799246</v>
      </c>
      <c r="F77" s="4">
        <f t="shared" si="75"/>
      </c>
      <c r="G77" s="4">
        <f t="shared" si="75"/>
      </c>
      <c r="H77" s="4">
        <f t="shared" si="75"/>
      </c>
      <c r="I77" s="4">
        <f t="shared" si="75"/>
      </c>
      <c r="J77" s="4">
        <f t="shared" si="75"/>
      </c>
      <c r="K77" s="4">
        <f t="shared" si="75"/>
      </c>
      <c r="L77" s="4">
        <f t="shared" si="75"/>
      </c>
      <c r="M77" s="1"/>
    </row>
    <row r="78" spans="1:13" ht="12.75">
      <c r="A78" s="1"/>
      <c r="B78" s="33">
        <f t="shared" si="76"/>
        <v>50</v>
      </c>
      <c r="C78" s="4">
        <f t="shared" si="77"/>
        <v>0.8818227820935571</v>
      </c>
      <c r="D78" s="4">
        <f t="shared" si="74"/>
        <v>0.5283056112426744</v>
      </c>
      <c r="E78" s="4">
        <f t="shared" si="75"/>
        <v>0.14689730685202246</v>
      </c>
      <c r="F78" s="4">
        <f t="shared" si="75"/>
      </c>
      <c r="G78" s="4">
        <f t="shared" si="75"/>
      </c>
      <c r="H78" s="4">
        <f t="shared" si="75"/>
      </c>
      <c r="I78" s="4">
        <f t="shared" si="75"/>
      </c>
      <c r="J78" s="4">
        <f t="shared" si="75"/>
      </c>
      <c r="K78" s="4">
        <f t="shared" si="75"/>
      </c>
      <c r="L78" s="4">
        <f t="shared" si="75"/>
      </c>
      <c r="M78" s="1"/>
    </row>
    <row r="79" spans="1:13" ht="12.75">
      <c r="A79" s="1"/>
      <c r="B79" s="33">
        <f t="shared" si="76"/>
        <v>56.666666666666664</v>
      </c>
      <c r="C79" s="4">
        <f t="shared" si="77"/>
        <v>0.8699837507537554</v>
      </c>
      <c r="D79" s="4">
        <f t="shared" si="74"/>
        <v>0.48671170431830374</v>
      </c>
      <c r="E79" s="4">
        <f t="shared" si="75"/>
        <v>0.1319590190096603</v>
      </c>
      <c r="F79" s="4">
        <f t="shared" si="75"/>
      </c>
      <c r="G79" s="4">
        <f t="shared" si="75"/>
      </c>
      <c r="H79" s="4">
        <f t="shared" si="75"/>
      </c>
      <c r="I79" s="4">
        <f t="shared" si="75"/>
      </c>
      <c r="J79" s="4">
        <f t="shared" si="75"/>
      </c>
      <c r="K79" s="4">
        <f t="shared" si="75"/>
      </c>
      <c r="L79" s="4">
        <f t="shared" si="75"/>
      </c>
      <c r="M79" s="1"/>
    </row>
    <row r="80" spans="1:13" ht="12.75">
      <c r="A80" s="1"/>
      <c r="B80" s="33">
        <f t="shared" si="76"/>
        <v>63.33333333333333</v>
      </c>
      <c r="C80" s="4">
        <f t="shared" si="77"/>
        <v>0.8571508114201819</v>
      </c>
      <c r="D80" s="4">
        <f t="shared" si="74"/>
        <v>0.44530103226280826</v>
      </c>
      <c r="E80" s="4">
        <f t="shared" si="75"/>
        <v>0.11832912962258817</v>
      </c>
      <c r="F80" s="4">
        <f t="shared" si="75"/>
      </c>
      <c r="G80" s="4">
        <f t="shared" si="75"/>
      </c>
      <c r="H80" s="4">
        <f t="shared" si="75"/>
      </c>
      <c r="I80" s="4">
        <f t="shared" si="75"/>
      </c>
      <c r="J80" s="4">
        <f t="shared" si="75"/>
      </c>
      <c r="K80" s="4">
        <f t="shared" si="75"/>
      </c>
      <c r="L80" s="4">
        <f t="shared" si="75"/>
      </c>
      <c r="M80" s="1"/>
    </row>
    <row r="81" spans="1:13" ht="12.75">
      <c r="A81" s="1"/>
      <c r="B81" s="33">
        <f t="shared" si="76"/>
        <v>70</v>
      </c>
      <c r="C81" s="4">
        <f t="shared" si="77"/>
        <v>0.8432794036573281</v>
      </c>
      <c r="D81" s="4">
        <f t="shared" si="74"/>
        <v>0.404636172646808</v>
      </c>
      <c r="E81" s="4">
        <f t="shared" si="75"/>
        <v>0.10593524625246184</v>
      </c>
      <c r="F81" s="4">
        <f t="shared" si="75"/>
      </c>
      <c r="G81" s="4">
        <f t="shared" si="75"/>
      </c>
      <c r="H81" s="4">
        <f t="shared" si="75"/>
      </c>
      <c r="I81" s="4">
        <f t="shared" si="75"/>
      </c>
      <c r="J81" s="4">
        <f t="shared" si="75"/>
      </c>
      <c r="K81" s="4">
        <f t="shared" si="75"/>
      </c>
      <c r="L81" s="4">
        <f t="shared" si="75"/>
      </c>
      <c r="M81" s="1"/>
    </row>
    <row r="82" spans="1:13" ht="12.75">
      <c r="A82" s="1"/>
      <c r="B82" s="33">
        <f t="shared" si="76"/>
      </c>
      <c r="C82" s="4">
        <f t="shared" si="77"/>
      </c>
      <c r="D82" s="4">
        <f t="shared" si="74"/>
      </c>
      <c r="E82" s="4">
        <f t="shared" si="75"/>
      </c>
      <c r="F82" s="4">
        <f t="shared" si="75"/>
      </c>
      <c r="G82" s="4">
        <f t="shared" si="75"/>
      </c>
      <c r="H82" s="4">
        <f t="shared" si="75"/>
      </c>
      <c r="I82" s="4">
        <f t="shared" si="75"/>
      </c>
      <c r="J82" s="4">
        <f t="shared" si="75"/>
      </c>
      <c r="K82" s="4">
        <f t="shared" si="75"/>
      </c>
      <c r="L82" s="4">
        <f t="shared" si="75"/>
      </c>
      <c r="M82" s="1"/>
    </row>
    <row r="83" spans="1:13" ht="12.75">
      <c r="A83" s="1"/>
      <c r="B83" s="33">
        <f t="shared" si="76"/>
      </c>
      <c r="C83" s="4">
        <f t="shared" si="77"/>
      </c>
      <c r="D83" s="4">
        <f t="shared" si="74"/>
      </c>
      <c r="E83" s="4">
        <f t="shared" si="75"/>
      </c>
      <c r="F83" s="4">
        <f t="shared" si="75"/>
      </c>
      <c r="G83" s="4">
        <f t="shared" si="75"/>
      </c>
      <c r="H83" s="4">
        <f t="shared" si="75"/>
      </c>
      <c r="I83" s="4">
        <f t="shared" si="75"/>
      </c>
      <c r="J83" s="4">
        <f t="shared" si="75"/>
      </c>
      <c r="K83" s="4">
        <f t="shared" si="75"/>
      </c>
      <c r="L83" s="4">
        <f t="shared" si="75"/>
      </c>
      <c r="M83" s="1"/>
    </row>
    <row r="84" spans="1:13" ht="12.75">
      <c r="A84" s="1"/>
      <c r="B84" s="33">
        <f t="shared" si="76"/>
      </c>
      <c r="C84" s="4">
        <f t="shared" si="77"/>
      </c>
      <c r="D84" s="4">
        <f t="shared" si="74"/>
      </c>
      <c r="E84" s="4">
        <f t="shared" si="75"/>
      </c>
      <c r="F84" s="4">
        <f t="shared" si="75"/>
      </c>
      <c r="G84" s="4">
        <f t="shared" si="75"/>
      </c>
      <c r="H84" s="4">
        <f t="shared" si="75"/>
      </c>
      <c r="I84" s="4">
        <f t="shared" si="75"/>
      </c>
      <c r="J84" s="4">
        <f t="shared" si="75"/>
      </c>
      <c r="K84" s="4">
        <f t="shared" si="75"/>
      </c>
      <c r="L84" s="4">
        <f t="shared" si="75"/>
      </c>
      <c r="M84" s="1"/>
    </row>
    <row r="85" spans="1:13" ht="12.75">
      <c r="A85" s="1"/>
      <c r="B85" s="33">
        <f t="shared" si="76"/>
      </c>
      <c r="C85" s="4">
        <f t="shared" si="77"/>
      </c>
      <c r="D85" s="4">
        <f t="shared" si="74"/>
      </c>
      <c r="E85" s="4">
        <f t="shared" si="75"/>
      </c>
      <c r="F85" s="4">
        <f t="shared" si="75"/>
      </c>
      <c r="G85" s="4">
        <f t="shared" si="75"/>
      </c>
      <c r="H85" s="4">
        <f t="shared" si="75"/>
      </c>
      <c r="I85" s="4">
        <f t="shared" si="75"/>
      </c>
      <c r="J85" s="4">
        <f t="shared" si="75"/>
      </c>
      <c r="K85" s="4">
        <f t="shared" si="75"/>
      </c>
      <c r="L85" s="4">
        <f t="shared" si="75"/>
      </c>
      <c r="M85" s="1"/>
    </row>
    <row r="86" spans="1:13" ht="12.75">
      <c r="A86" s="1"/>
      <c r="B86" s="33">
        <f t="shared" si="76"/>
      </c>
      <c r="C86" s="4">
        <f t="shared" si="77"/>
      </c>
      <c r="D86" s="4">
        <f t="shared" si="74"/>
      </c>
      <c r="E86" s="4">
        <f t="shared" si="75"/>
      </c>
      <c r="F86" s="4">
        <f t="shared" si="75"/>
      </c>
      <c r="G86" s="4">
        <f t="shared" si="75"/>
      </c>
      <c r="H86" s="4">
        <f t="shared" si="75"/>
      </c>
      <c r="I86" s="4">
        <f t="shared" si="75"/>
      </c>
      <c r="J86" s="4">
        <f t="shared" si="75"/>
      </c>
      <c r="K86" s="4">
        <f t="shared" si="75"/>
      </c>
      <c r="L86" s="4">
        <f t="shared" si="75"/>
      </c>
      <c r="M86" s="1"/>
    </row>
    <row r="87" spans="1:13" ht="12.75">
      <c r="A87" s="1"/>
      <c r="B87" s="33">
        <f t="shared" si="76"/>
      </c>
      <c r="C87" s="4">
        <f t="shared" si="77"/>
      </c>
      <c r="D87" s="4">
        <f t="shared" si="74"/>
      </c>
      <c r="E87" s="4">
        <f t="shared" si="75"/>
      </c>
      <c r="F87" s="4">
        <f t="shared" si="75"/>
      </c>
      <c r="G87" s="4">
        <f t="shared" si="75"/>
      </c>
      <c r="H87" s="4">
        <f t="shared" si="75"/>
      </c>
      <c r="I87" s="4">
        <f t="shared" si="75"/>
      </c>
      <c r="J87" s="4">
        <f t="shared" si="75"/>
      </c>
      <c r="K87" s="4">
        <f t="shared" si="75"/>
      </c>
      <c r="L87" s="4">
        <f t="shared" si="75"/>
      </c>
      <c r="M87" s="1"/>
    </row>
    <row r="88" spans="1:13" ht="12.75">
      <c r="A88" s="1"/>
      <c r="B88" s="33">
        <f t="shared" si="76"/>
      </c>
      <c r="C88" s="4">
        <f t="shared" si="77"/>
      </c>
      <c r="D88" s="4">
        <f t="shared" si="74"/>
      </c>
      <c r="E88" s="4">
        <f t="shared" si="75"/>
      </c>
      <c r="F88" s="4">
        <f t="shared" si="75"/>
      </c>
      <c r="G88" s="4">
        <f t="shared" si="75"/>
      </c>
      <c r="H88" s="4">
        <f t="shared" si="75"/>
      </c>
      <c r="I88" s="4">
        <f t="shared" si="75"/>
      </c>
      <c r="J88" s="4">
        <f t="shared" si="75"/>
      </c>
      <c r="K88" s="4">
        <f t="shared" si="75"/>
      </c>
      <c r="L88" s="4">
        <f t="shared" si="75"/>
      </c>
      <c r="M88" s="1"/>
    </row>
    <row r="89" spans="1:13" ht="12.75">
      <c r="A89" s="1"/>
      <c r="B89" s="33">
        <f t="shared" si="76"/>
      </c>
      <c r="C89" s="4">
        <f t="shared" si="77"/>
      </c>
      <c r="D89" s="4">
        <f t="shared" si="74"/>
      </c>
      <c r="E89" s="4">
        <f aca="true" t="shared" si="78" ref="E89:L91">IF(OR(E$8&gt;NmE,$B89=""),"",cdf(E$11-E$70*(PBsV-$B89)))</f>
      </c>
      <c r="F89" s="4">
        <f t="shared" si="78"/>
      </c>
      <c r="G89" s="4">
        <f t="shared" si="78"/>
      </c>
      <c r="H89" s="4">
        <f t="shared" si="78"/>
      </c>
      <c r="I89" s="4">
        <f t="shared" si="78"/>
      </c>
      <c r="J89" s="4">
        <f t="shared" si="78"/>
      </c>
      <c r="K89" s="4">
        <f t="shared" si="78"/>
      </c>
      <c r="L89" s="4">
        <f t="shared" si="78"/>
      </c>
      <c r="M89" s="1"/>
    </row>
    <row r="90" spans="1:13" ht="12.75">
      <c r="A90" s="1"/>
      <c r="B90" s="33">
        <f t="shared" si="76"/>
      </c>
      <c r="C90" s="4">
        <f t="shared" si="77"/>
      </c>
      <c r="D90" s="4">
        <f t="shared" si="74"/>
      </c>
      <c r="E90" s="4">
        <f t="shared" si="78"/>
      </c>
      <c r="F90" s="4">
        <f t="shared" si="78"/>
      </c>
      <c r="G90" s="4">
        <f t="shared" si="78"/>
      </c>
      <c r="H90" s="4">
        <f t="shared" si="78"/>
      </c>
      <c r="I90" s="4">
        <f t="shared" si="78"/>
      </c>
      <c r="J90" s="4">
        <f t="shared" si="78"/>
      </c>
      <c r="K90" s="4">
        <f t="shared" si="78"/>
      </c>
      <c r="L90" s="4">
        <f t="shared" si="78"/>
      </c>
      <c r="M90" s="1"/>
    </row>
    <row r="91" spans="1:13" ht="12.75">
      <c r="A91" s="1"/>
      <c r="B91" s="34">
        <f t="shared" si="76"/>
      </c>
      <c r="C91" s="36">
        <f t="shared" si="77"/>
      </c>
      <c r="D91" s="36">
        <f t="shared" si="74"/>
      </c>
      <c r="E91" s="36">
        <f t="shared" si="78"/>
      </c>
      <c r="F91" s="36">
        <f t="shared" si="78"/>
      </c>
      <c r="G91" s="36">
        <f t="shared" si="78"/>
      </c>
      <c r="H91" s="36">
        <f t="shared" si="78"/>
      </c>
      <c r="I91" s="36">
        <f t="shared" si="78"/>
      </c>
      <c r="J91" s="36">
        <f t="shared" si="78"/>
      </c>
      <c r="K91" s="36">
        <f t="shared" si="78"/>
      </c>
      <c r="L91" s="36">
        <f t="shared" si="78"/>
      </c>
      <c r="M91" s="1"/>
    </row>
    <row r="92" spans="1:1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IU-Sociology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Logit Post Estimation</dc:title>
  <dc:subject/>
  <dc:creator>J. Scott Long and Simon Cheng</dc:creator>
  <cp:keywords/>
  <dc:description/>
  <cp:lastModifiedBy>Simon Cheng</cp:lastModifiedBy>
  <cp:lastPrinted>1999-12-31T01:15:22Z</cp:lastPrinted>
  <dcterms:created xsi:type="dcterms:W3CDTF">1999-06-12T19:41:52Z</dcterms:created>
  <dcterms:modified xsi:type="dcterms:W3CDTF">2002-07-29T06:07:30Z</dcterms:modified>
  <cp:category/>
  <cp:version/>
  <cp:contentType/>
  <cp:contentStatus/>
</cp:coreProperties>
</file>