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680" activeTab="0"/>
  </bookViews>
  <sheets>
    <sheet name="Input" sheetId="1" r:id="rId1"/>
    <sheet name="Calculator" sheetId="2" r:id="rId2"/>
    <sheet name="Plotter" sheetId="3" r:id="rId3"/>
    <sheet name="Change" sheetId="4" r:id="rId4"/>
    <sheet name="Tech" sheetId="5" state="hidden" r:id="rId5"/>
  </sheets>
  <definedNames>
    <definedName name="Bval">'Input'!$I$16:$I$65</definedName>
    <definedName name="Bvtoc1">'Tech'!$H$8</definedName>
    <definedName name="Bvtoc2">'Tech'!$H$9</definedName>
    <definedName name="Bvtoc3">'Tech'!$H$10</definedName>
    <definedName name="cat0">'Input'!$J$9</definedName>
    <definedName name="cat1">'Input'!$L$14</definedName>
    <definedName name="cat2">'Input'!$M$14</definedName>
    <definedName name="cat3">'Input'!$N$14</definedName>
    <definedName name="cat4">'Input'!$O$14</definedName>
    <definedName name="cat5">'Input'!$P$14</definedName>
    <definedName name="cat6">'Input'!$Q$14</definedName>
    <definedName name="cat7">'Input'!$R$14</definedName>
    <definedName name="cat8">'Input'!$S$14</definedName>
    <definedName name="cat9">'Input'!$T$14</definedName>
    <definedName name="Cc1th">'Tech'!$F$4</definedName>
    <definedName name="Cc2th">'Tech'!$F$5</definedName>
    <definedName name="Cc3th">'Tech'!$F$6</definedName>
    <definedName name="Cc4th">'Tech'!$F$7</definedName>
    <definedName name="Cc5th">'Tech'!$F$8</definedName>
    <definedName name="Cc6th">'Tech'!$F$9</definedName>
    <definedName name="Cc7th">'Tech'!$F$10</definedName>
    <definedName name="Cc8th">'Tech'!$F$11</definedName>
    <definedName name="ChV">'Calculator'!$S$23:$S$37</definedName>
    <definedName name="con1">'Input'!$L$15</definedName>
    <definedName name="con2">'Input'!$M$15</definedName>
    <definedName name="con3">'Input'!$N$15</definedName>
    <definedName name="con4">'Input'!$O$15</definedName>
    <definedName name="con5">'Input'!$P$15</definedName>
    <definedName name="con6">'Input'!$Q$15</definedName>
    <definedName name="con7">'Input'!$R$15</definedName>
    <definedName name="con8">'Input'!$S$15</definedName>
    <definedName name="con9">'Input'!$T$15</definedName>
    <definedName name="ctoc1">'Calculator'!$D$14</definedName>
    <definedName name="ctoc2">'Calculator'!$F$14</definedName>
    <definedName name="ctoc3">'Calculator'!$G$14</definedName>
    <definedName name="ctoc4">'Calculator'!$I$14</definedName>
    <definedName name="ctoc5">'Calculator'!$J$14</definedName>
    <definedName name="ctoc6">'Calculator'!$L$14</definedName>
    <definedName name="ctoc7">'Calculator'!$M$14</definedName>
    <definedName name="ctoc8">'Calculator'!$O$14</definedName>
    <definedName name="Dis">'Tech'!$K$5</definedName>
    <definedName name="e1b">'Input'!$L$16:$L$65</definedName>
    <definedName name="e2b">'Input'!$M$16:$M$65</definedName>
    <definedName name="e3b">'Input'!$N$16:$N$65</definedName>
    <definedName name="e4b">'Input'!$O$16:$O$65</definedName>
    <definedName name="e5b">'Input'!$P$16:$P$65</definedName>
    <definedName name="e6b">'Input'!$Q$16:$Q$65</definedName>
    <definedName name="e7b">'Input'!$R$16:$R$65</definedName>
    <definedName name="e8b">'Input'!$S$16:$S$65</definedName>
    <definedName name="e9b">'Input'!$T$16:$T$65</definedName>
    <definedName name="EndV">'Plotter'!$D$9</definedName>
    <definedName name="max">'Input'!$F$16:$F$65</definedName>
    <definedName name="min">'Input'!$E$16:$E$65</definedName>
    <definedName name="mn">'Input'!$C$16:$C$65</definedName>
    <definedName name="NmE">'Tech'!$C$4</definedName>
    <definedName name="NmP">'Plotter'!$D$10</definedName>
    <definedName name="NmV">'Tech'!$C$5</definedName>
    <definedName name="PbaseV">'Tech'!$K$6</definedName>
    <definedName name="RHV">'Input'!$B$16:$B$65</definedName>
    <definedName name="sd">'Input'!$D$16:$D$65</definedName>
    <definedName name="SeSum">'Tech'!$M$16:$M$37</definedName>
    <definedName name="StartV">'Plotter'!$D$8</definedName>
    <definedName name="sump">'Tech'!$Z$15:$Z$34</definedName>
    <definedName name="sump0">'Tech'!$P$15:$P$34</definedName>
    <definedName name="sump1">'Tech'!$Q$15:$Q$34</definedName>
    <definedName name="sump2">'Tech'!$R$15:$R$34</definedName>
    <definedName name="sump3">'Tech'!$S$15:$S$34</definedName>
    <definedName name="sump4">'Tech'!$T$15:$T$34</definedName>
    <definedName name="sump5">'Tech'!$U$15:$U$34</definedName>
    <definedName name="sump6">'Tech'!$V$15:$V$34</definedName>
    <definedName name="sump7">'Tech'!$W$15:$W$34</definedName>
    <definedName name="sump8">'Tech'!$X$15:$X$34</definedName>
    <definedName name="sump9">'Tech'!$Y$15:$Y$34</definedName>
    <definedName name="Vc1th">'Tech'!$H$4</definedName>
    <definedName name="Vc2th">'Tech'!$H$5</definedName>
    <definedName name="Vc3th">'Tech'!$H$6</definedName>
    <definedName name="VPth">'Tech'!$K$4</definedName>
    <definedName name="Vtoc1">'Calculator'!$R$25</definedName>
    <definedName name="Vtoc2">'Calculator'!$R$30</definedName>
    <definedName name="vtoc3">'Calculator'!$R$35</definedName>
    <definedName name="VtoP">'Plotter'!$D$7</definedName>
    <definedName name="Vtype">'Input'!$G$16:$G$65</definedName>
    <definedName name="Ycat">'Input'!$L$14:$T$14</definedName>
  </definedNames>
  <calcPr fullCalcOnLoad="1"/>
</workbook>
</file>

<file path=xl/comments1.xml><?xml version="1.0" encoding="utf-8"?>
<comments xmlns="http://schemas.openxmlformats.org/spreadsheetml/2006/main">
  <authors>
    <author>Simon Cheng</author>
  </authors>
  <commentList>
    <comment ref="G13" authorId="0">
      <text>
        <r>
          <rPr>
            <b/>
            <sz val="10"/>
            <rFont val="Tahoma"/>
            <family val="2"/>
          </rPr>
          <t xml:space="preserve"> </t>
        </r>
        <r>
          <rPr>
            <sz val="10"/>
            <rFont val="Tahoma"/>
            <family val="2"/>
          </rPr>
          <t>C = Cotinuous
 B = Binary
(Case Insensitive)</t>
        </r>
      </text>
    </comment>
    <comment ref="H13" authorId="0">
      <text>
        <r>
          <rPr>
            <sz val="10"/>
            <rFont val="Tahoma"/>
            <family val="2"/>
          </rPr>
          <t>To specify the base values, enter:
 # = any number (e.g., 1.2)
 m = mean
 min = minimum
 max = maximum
(case insensitive)</t>
        </r>
      </text>
    </comment>
  </commentList>
</comments>
</file>

<file path=xl/sharedStrings.xml><?xml version="1.0" encoding="utf-8"?>
<sst xmlns="http://schemas.openxmlformats.org/spreadsheetml/2006/main" count="414" uniqueCount="144">
  <si>
    <t>Variable</t>
  </si>
  <si>
    <t>Mean</t>
  </si>
  <si>
    <t>Base</t>
  </si>
  <si>
    <t>Type</t>
  </si>
  <si>
    <t>Minimum</t>
  </si>
  <si>
    <t>Maximum</t>
  </si>
  <si>
    <t>Name</t>
  </si>
  <si>
    <t>Do Not Insert or Remove Rows</t>
  </si>
  <si>
    <t>Min</t>
  </si>
  <si>
    <t>Max</t>
  </si>
  <si>
    <t>Values</t>
  </si>
  <si>
    <t>Calculator</t>
  </si>
  <si>
    <t>Value</t>
  </si>
  <si>
    <t>Constant</t>
  </si>
  <si>
    <t>NmE</t>
  </si>
  <si>
    <t>Menial</t>
  </si>
  <si>
    <t>BlueCol</t>
  </si>
  <si>
    <t>Craft</t>
  </si>
  <si>
    <t>WhiteCol</t>
  </si>
  <si>
    <t>Prof</t>
  </si>
  <si>
    <t>WHITE</t>
  </si>
  <si>
    <t>ED</t>
  </si>
  <si>
    <t>EXPER</t>
  </si>
  <si>
    <t>e^b</t>
  </si>
  <si>
    <t>b</t>
  </si>
  <si>
    <t>e^(b*std)</t>
  </si>
  <si>
    <t>ed</t>
  </si>
  <si>
    <t>Plotter</t>
  </si>
  <si>
    <t>Dis</t>
  </si>
  <si>
    <t>x-value</t>
  </si>
  <si>
    <t>Change</t>
  </si>
  <si>
    <t>0--&gt;1</t>
  </si>
  <si>
    <t>D s</t>
  </si>
  <si>
    <t>NmV</t>
  </si>
  <si>
    <t>Cc1th</t>
  </si>
  <si>
    <t>Cc4th</t>
  </si>
  <si>
    <t>Cc5th</t>
  </si>
  <si>
    <t>Cc6th</t>
  </si>
  <si>
    <t>Cc7th</t>
  </si>
  <si>
    <t>Cc8th</t>
  </si>
  <si>
    <t>SeSum</t>
  </si>
  <si>
    <t xml:space="preserve">   With other variable at the base, vary this variable.</t>
  </si>
  <si>
    <t xml:space="preserve">   Enter the start value for the x-axis.</t>
  </si>
  <si>
    <t xml:space="preserve">   Enter end value for the x-axis.</t>
  </si>
  <si>
    <t xml:space="preserve">   2 to 20 points allowed</t>
  </si>
  <si>
    <t>Basics</t>
  </si>
  <si>
    <t>---</t>
  </si>
  <si>
    <t>VPth</t>
  </si>
  <si>
    <t>prof</t>
  </si>
  <si>
    <t>whitecol</t>
  </si>
  <si>
    <t>PbaseV</t>
  </si>
  <si>
    <t>Std.</t>
  </si>
  <si>
    <t>Dev.</t>
  </si>
  <si>
    <t>Indep</t>
  </si>
  <si>
    <t>Std</t>
  </si>
  <si>
    <t>vs.</t>
  </si>
  <si>
    <t>Contrast 1</t>
  </si>
  <si>
    <t>Contrast 2</t>
  </si>
  <si>
    <t>Contrast 3</t>
  </si>
  <si>
    <t>Contrast 4</t>
  </si>
  <si>
    <t>Cc2th</t>
  </si>
  <si>
    <t>Cc3th</t>
  </si>
  <si>
    <t>Basic Predicted Probability</t>
  </si>
  <si>
    <t>Notes</t>
  </si>
  <si>
    <t xml:space="preserve">    1.  Enter all of your information in the light green cells, such as this: </t>
  </si>
  <si>
    <t>Logit coefficients b/w the contrast groups and your base category:</t>
  </si>
  <si>
    <t>craft</t>
  </si>
  <si>
    <t>1.</t>
  </si>
  <si>
    <t>2.</t>
  </si>
  <si>
    <t>3.</t>
  </si>
  <si>
    <t>Exp(Sum)</t>
  </si>
  <si>
    <t>BaseType</t>
  </si>
  <si>
    <t>b's of</t>
  </si>
  <si>
    <t>A</t>
  </si>
  <si>
    <t>changed</t>
  </si>
  <si>
    <t>B</t>
  </si>
  <si>
    <t>variables</t>
  </si>
  <si>
    <t>C</t>
  </si>
  <si>
    <t xml:space="preserve">With other variables held at their base values, </t>
  </si>
  <si>
    <t>vary the following variables and calculate the predicted probabilities at the specified values.</t>
  </si>
  <si>
    <t>Vc1th</t>
  </si>
  <si>
    <t>Vc2th</t>
  </si>
  <si>
    <t>Vc3th</t>
  </si>
  <si>
    <t>white</t>
  </si>
  <si>
    <t>Values of</t>
  </si>
  <si>
    <t>Bvtoc1</t>
  </si>
  <si>
    <t>Bvtoc2</t>
  </si>
  <si>
    <t>Bvtoc3</t>
  </si>
  <si>
    <t>exper</t>
  </si>
  <si>
    <t>Sumb</t>
  </si>
  <si>
    <t>b for plot</t>
  </si>
  <si>
    <t>SumP</t>
  </si>
  <si>
    <t>Discrete Change</t>
  </si>
  <si>
    <r>
      <t xml:space="preserve">Average </t>
    </r>
    <r>
      <rPr>
        <i/>
        <sz val="10"/>
        <rFont val="Symbol"/>
        <family val="1"/>
      </rPr>
      <t>D</t>
    </r>
  </si>
  <si>
    <t>SumExp</t>
  </si>
  <si>
    <t>-- 0 --</t>
  </si>
  <si>
    <t>-- 1 --</t>
  </si>
  <si>
    <t>-- Min --</t>
  </si>
  <si>
    <t>-- Max --</t>
  </si>
  <si>
    <t>Mean - 0.5</t>
  </si>
  <si>
    <t xml:space="preserve">Mean + 0.5 </t>
  </si>
  <si>
    <t>Mean - 0.5*Sd</t>
  </si>
  <si>
    <t>Mean + 0.5*sd</t>
  </si>
  <si>
    <r>
      <t>D</t>
    </r>
    <r>
      <rPr>
        <i/>
        <sz val="9"/>
        <rFont val="Arial"/>
        <family val="0"/>
      </rPr>
      <t xml:space="preserve"> Range</t>
    </r>
  </si>
  <si>
    <r>
      <t>D</t>
    </r>
    <r>
      <rPr>
        <i/>
        <sz val="9"/>
        <rFont val="Arial"/>
        <family val="0"/>
      </rPr>
      <t xml:space="preserve"> 1</t>
    </r>
  </si>
  <si>
    <t>Table 2.    Predicted Probability</t>
  </si>
  <si>
    <t>Table 3.  Base Values</t>
  </si>
  <si>
    <t>Figure 1.  Predicted Probabilities</t>
  </si>
  <si>
    <t>Contrast Group</t>
  </si>
  <si>
    <t>Multinomial Logit</t>
  </si>
  <si>
    <r>
      <t xml:space="preserve">    2.  Press  &lt;</t>
    </r>
    <r>
      <rPr>
        <b/>
        <i/>
        <sz val="10"/>
        <color indexed="8"/>
        <rFont val="Arial"/>
        <family val="2"/>
      </rPr>
      <t>Ctrl+Shift+p</t>
    </r>
    <r>
      <rPr>
        <sz val="10"/>
        <color indexed="8"/>
        <rFont val="Arial"/>
        <family val="2"/>
      </rPr>
      <t>&gt; to see the XPost pull-down menu (</t>
    </r>
    <r>
      <rPr>
        <i/>
        <sz val="10"/>
        <color indexed="8"/>
        <rFont val="Arial"/>
        <family val="2"/>
      </rPr>
      <t>Optional</t>
    </r>
    <r>
      <rPr>
        <sz val="10"/>
        <color indexed="8"/>
        <rFont val="Arial"/>
        <family val="2"/>
      </rPr>
      <t>).</t>
    </r>
  </si>
  <si>
    <r>
      <t xml:space="preserve">Table 1.  Descriptive Statistics for Y - </t>
    </r>
    <r>
      <rPr>
        <i/>
        <sz val="10"/>
        <rFont val="Arial"/>
        <family val="2"/>
      </rPr>
      <t>optional</t>
    </r>
    <r>
      <rPr>
        <b/>
        <sz val="10"/>
        <rFont val="Arial"/>
        <family val="2"/>
      </rPr>
      <t xml:space="preserve"> -</t>
    </r>
  </si>
  <si>
    <t xml:space="preserve">Base Category  = </t>
  </si>
  <si>
    <t>Table 2.  Descriptive Statistics, Variable Types, and Base Values</t>
  </si>
  <si>
    <t>Table 3.  Estimates of Logit Coefficients</t>
  </si>
  <si>
    <t>M</t>
  </si>
  <si>
    <t>Do not add or delete any rows or columns.</t>
  </si>
  <si>
    <t xml:space="preserve">Enter all of your information in the light green cells, such as this: </t>
  </si>
  <si>
    <t>Predicted probabilities are given for base values shown in Table 3.  Note base values can only be changed in the Input sheet.</t>
  </si>
  <si>
    <t xml:space="preserve">In the green cells you can choose four contrasts, three variables and specify up to five values for that variable.  Predicted </t>
  </si>
  <si>
    <t>probabilities are computed at these values with other values equal to the base values in Table 3.</t>
  </si>
  <si>
    <t>All Variables</t>
  </si>
  <si>
    <t>Held at</t>
  </si>
  <si>
    <t xml:space="preserve">    2.  Enter information in Table 1 about your graph. Note you can edit the graph as with any Excel chart.</t>
  </si>
  <si>
    <t xml:space="preserve">  X-variable to vary</t>
  </si>
  <si>
    <t xml:space="preserve">  Start Value </t>
  </si>
  <si>
    <t xml:space="preserve">  End Value</t>
  </si>
  <si>
    <t xml:space="preserve">  # of Points</t>
  </si>
  <si>
    <t>Table 1. Specification of x-variable.</t>
  </si>
  <si>
    <t>Table 2.  Base Values</t>
  </si>
  <si>
    <t>Table 3.  Sources of Plot</t>
  </si>
  <si>
    <t xml:space="preserve">     1.</t>
  </si>
  <si>
    <t xml:space="preserve">     2.</t>
  </si>
  <si>
    <t xml:space="preserve">    3.  For statistical interpretations of multinomial logit regression, see Long (1996: 148-88).</t>
  </si>
  <si>
    <r>
      <t xml:space="preserve">Table 1.  Factor Change -- </t>
    </r>
    <r>
      <rPr>
        <i/>
        <sz val="10"/>
        <rFont val="Arial"/>
        <family val="2"/>
      </rPr>
      <t xml:space="preserve">Select </t>
    </r>
    <r>
      <rPr>
        <b/>
        <i/>
        <sz val="10"/>
        <color indexed="10"/>
        <rFont val="Arial"/>
        <family val="2"/>
      </rPr>
      <t>U</t>
    </r>
    <r>
      <rPr>
        <i/>
        <sz val="10"/>
        <rFont val="Arial"/>
        <family val="2"/>
      </rPr>
      <t xml:space="preserve"> if Unit Factor Change; </t>
    </r>
    <r>
      <rPr>
        <b/>
        <i/>
        <sz val="10"/>
        <color indexed="10"/>
        <rFont val="Arial"/>
        <family val="2"/>
      </rPr>
      <t>S</t>
    </r>
    <r>
      <rPr>
        <i/>
        <sz val="10"/>
        <rFont val="Arial"/>
        <family val="2"/>
      </rPr>
      <t xml:space="preserve"> if Std Factor Change</t>
    </r>
  </si>
  <si>
    <t xml:space="preserve">Base Category = </t>
  </si>
  <si>
    <t>Table 1.  Logit Coefficients and Factor Change of Other Contrasts</t>
  </si>
  <si>
    <t>S</t>
  </si>
  <si>
    <t>U</t>
  </si>
  <si>
    <t>Type of</t>
  </si>
  <si>
    <t>This page computes factor change and discrete change using the base values specified on the Input sheet; these values</t>
  </si>
  <si>
    <t>Table 2.  Discrete Change</t>
  </si>
  <si>
    <t>are shown on Table 3 below, but can only be changed on the Input sheet.  There is nothing you can change on this page.</t>
  </si>
  <si>
    <t>occ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</si>
</sst>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"/>
    <numFmt numFmtId="168" formatCode="0.0"/>
    <numFmt numFmtId="169" formatCode="0.000000000000000"/>
    <numFmt numFmtId="170" formatCode="0.0000000000000"/>
    <numFmt numFmtId="171" formatCode="\(\ \ 0\ \ \)"/>
  </numFmts>
  <fonts count="41">
    <font>
      <sz val="10"/>
      <name val="Arial"/>
      <family val="0"/>
    </font>
    <font>
      <b/>
      <i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9"/>
      <color indexed="12"/>
      <name val="Arial"/>
      <family val="2"/>
    </font>
    <font>
      <u val="single"/>
      <sz val="8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sz val="11.75"/>
      <name val="Times New Roman"/>
      <family val="1"/>
    </font>
    <font>
      <sz val="10"/>
      <name val="Times New Roman"/>
      <family val="1"/>
    </font>
    <font>
      <sz val="16"/>
      <name val="Arial"/>
      <family val="0"/>
    </font>
    <font>
      <sz val="10"/>
      <color indexed="9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8"/>
      <color indexed="19"/>
      <name val="Arial"/>
      <family val="2"/>
    </font>
    <font>
      <sz val="11.5"/>
      <name val="Arial"/>
      <family val="2"/>
    </font>
    <font>
      <sz val="10"/>
      <color indexed="8"/>
      <name val="Arial"/>
      <family val="2"/>
    </font>
    <font>
      <i/>
      <u val="single"/>
      <sz val="10"/>
      <color indexed="8"/>
      <name val="Arial"/>
      <family val="2"/>
    </font>
    <font>
      <u val="single"/>
      <sz val="10"/>
      <name val="Arial"/>
      <family val="2"/>
    </font>
    <font>
      <b/>
      <i/>
      <sz val="14"/>
      <color indexed="8"/>
      <name val="Arial"/>
      <family val="2"/>
    </font>
    <font>
      <i/>
      <sz val="9"/>
      <color indexed="10"/>
      <name val="Arial"/>
      <family val="2"/>
    </font>
    <font>
      <b/>
      <i/>
      <sz val="14"/>
      <name val="Arial"/>
      <family val="2"/>
    </font>
    <font>
      <i/>
      <u val="single"/>
      <sz val="10"/>
      <name val="Arial"/>
      <family val="2"/>
    </font>
    <font>
      <b/>
      <sz val="10"/>
      <color indexed="10"/>
      <name val="Arial"/>
      <family val="2"/>
    </font>
    <font>
      <i/>
      <sz val="10"/>
      <name val="Symbol"/>
      <family val="1"/>
    </font>
    <font>
      <sz val="8"/>
      <color indexed="9"/>
      <name val="Arial"/>
      <family val="2"/>
    </font>
    <font>
      <i/>
      <sz val="9"/>
      <name val="Symbol"/>
      <family val="1"/>
    </font>
    <font>
      <sz val="8"/>
      <color indexed="18"/>
      <name val="Arial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 style="thin"/>
    </border>
    <border>
      <left style="dotted"/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tted"/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dotted"/>
      <top style="thin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dotted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dotted"/>
      <top style="double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1">
    <xf numFmtId="0" fontId="0" fillId="0" borderId="0" xfId="0" applyAlignment="1">
      <alignment/>
    </xf>
    <xf numFmtId="0" fontId="1" fillId="2" borderId="0" xfId="0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2" fontId="8" fillId="2" borderId="1" xfId="0" applyNumberFormat="1" applyFont="1" applyFill="1" applyBorder="1" applyAlignment="1" applyProtection="1">
      <alignment horizontal="right"/>
      <protection locked="0"/>
    </xf>
    <xf numFmtId="0" fontId="2" fillId="2" borderId="0" xfId="0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18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" fontId="9" fillId="0" borderId="0" xfId="0" applyNumberFormat="1" applyFont="1" applyBorder="1" applyAlignment="1">
      <alignment/>
    </xf>
    <xf numFmtId="1" fontId="6" fillId="0" borderId="0" xfId="0" applyNumberFormat="1" applyFont="1" applyAlignment="1">
      <alignment horizontal="right"/>
    </xf>
    <xf numFmtId="1" fontId="6" fillId="0" borderId="1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" fontId="6" fillId="0" borderId="1" xfId="0" applyNumberFormat="1" applyFont="1" applyBorder="1" applyAlignment="1">
      <alignment horizontal="right"/>
    </xf>
    <xf numFmtId="1" fontId="6" fillId="0" borderId="0" xfId="0" applyNumberFormat="1" applyFont="1" applyAlignment="1" quotePrefix="1">
      <alignment horizontal="center"/>
    </xf>
    <xf numFmtId="1" fontId="6" fillId="0" borderId="0" xfId="0" applyNumberFormat="1" applyFont="1" applyBorder="1" applyAlignment="1">
      <alignment horizontal="right"/>
    </xf>
    <xf numFmtId="1" fontId="6" fillId="0" borderId="0" xfId="0" applyNumberFormat="1" applyFont="1" applyAlignment="1">
      <alignment horizontal="center"/>
    </xf>
    <xf numFmtId="1" fontId="6" fillId="0" borderId="0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65" fontId="6" fillId="0" borderId="0" xfId="0" applyNumberFormat="1" applyFont="1" applyAlignment="1">
      <alignment/>
    </xf>
    <xf numFmtId="0" fontId="0" fillId="0" borderId="0" xfId="0" applyBorder="1" applyAlignment="1" applyProtection="1">
      <alignment/>
      <protection locked="0"/>
    </xf>
    <xf numFmtId="0" fontId="23" fillId="3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1" fillId="0" borderId="0" xfId="0" applyFont="1" applyBorder="1" applyAlignment="1" applyProtection="1">
      <alignment horizontal="left"/>
      <protection locked="0"/>
    </xf>
    <xf numFmtId="0" fontId="0" fillId="3" borderId="0" xfId="0" applyFont="1" applyFill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20" fillId="0" borderId="0" xfId="0" applyFont="1" applyBorder="1" applyAlignment="1" applyProtection="1" quotePrefix="1">
      <alignment/>
      <protection locked="0"/>
    </xf>
    <xf numFmtId="0" fontId="20" fillId="0" borderId="1" xfId="0" applyFont="1" applyBorder="1" applyAlignment="1" applyProtection="1">
      <alignment/>
      <protection locked="0"/>
    </xf>
    <xf numFmtId="0" fontId="20" fillId="0" borderId="1" xfId="0" applyFont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1" fillId="2" borderId="0" xfId="0" applyFont="1" applyFill="1" applyAlignment="1" applyProtection="1">
      <alignment horizontal="right"/>
      <protection locked="0"/>
    </xf>
    <xf numFmtId="0" fontId="20" fillId="0" borderId="0" xfId="0" applyFont="1" applyBorder="1" applyAlignment="1" applyProtection="1">
      <alignment/>
      <protection locked="0"/>
    </xf>
    <xf numFmtId="0" fontId="20" fillId="2" borderId="0" xfId="0" applyFont="1" applyFill="1" applyBorder="1" applyAlignment="1" applyProtection="1">
      <alignment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20" fillId="0" borderId="0" xfId="0" applyFont="1" applyBorder="1" applyAlignment="1" applyProtection="1" quotePrefix="1">
      <alignment/>
      <protection locked="0"/>
    </xf>
    <xf numFmtId="0" fontId="24" fillId="0" borderId="1" xfId="0" applyFont="1" applyBorder="1" applyAlignment="1" applyProtection="1">
      <alignment/>
      <protection locked="0"/>
    </xf>
    <xf numFmtId="0" fontId="22" fillId="0" borderId="2" xfId="0" applyFont="1" applyBorder="1" applyAlignment="1" applyProtection="1">
      <alignment/>
      <protection locked="0"/>
    </xf>
    <xf numFmtId="0" fontId="0" fillId="0" borderId="3" xfId="0" applyFont="1" applyBorder="1" applyAlignment="1" applyProtection="1">
      <alignment/>
      <protection locked="0"/>
    </xf>
    <xf numFmtId="0" fontId="10" fillId="0" borderId="4" xfId="0" applyFont="1" applyBorder="1" applyAlignment="1" applyProtection="1">
      <alignment horizontal="center"/>
      <protection locked="0"/>
    </xf>
    <xf numFmtId="0" fontId="0" fillId="0" borderId="5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/>
      <protection locked="0"/>
    </xf>
    <xf numFmtId="0" fontId="8" fillId="2" borderId="6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7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/>
      <protection locked="0"/>
    </xf>
    <xf numFmtId="0" fontId="0" fillId="0" borderId="4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/>
      <protection locked="0"/>
    </xf>
    <xf numFmtId="0" fontId="0" fillId="0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/>
      <protection locked="0"/>
    </xf>
    <xf numFmtId="0" fontId="25" fillId="0" borderId="0" xfId="0" applyFont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15" fillId="0" borderId="0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/>
      <protection locked="0"/>
    </xf>
    <xf numFmtId="0" fontId="0" fillId="0" borderId="1" xfId="0" applyBorder="1" applyAlignment="1" applyProtection="1" quotePrefix="1">
      <alignment/>
      <protection locked="0"/>
    </xf>
    <xf numFmtId="0" fontId="0" fillId="0" borderId="1" xfId="0" applyFont="1" applyBorder="1" applyAlignment="1" applyProtection="1">
      <alignment/>
      <protection locked="0"/>
    </xf>
    <xf numFmtId="166" fontId="2" fillId="2" borderId="0" xfId="0" applyNumberFormat="1" applyFont="1" applyFill="1" applyAlignment="1" applyProtection="1">
      <alignment/>
      <protection locked="0"/>
    </xf>
    <xf numFmtId="2" fontId="2" fillId="2" borderId="0" xfId="0" applyNumberFormat="1" applyFont="1" applyFill="1" applyAlignment="1" applyProtection="1">
      <alignment/>
      <protection locked="0"/>
    </xf>
    <xf numFmtId="166" fontId="2" fillId="2" borderId="0" xfId="0" applyNumberFormat="1" applyFont="1" applyFill="1" applyBorder="1" applyAlignment="1" applyProtection="1">
      <alignment horizontal="right"/>
      <protection locked="0"/>
    </xf>
    <xf numFmtId="2" fontId="2" fillId="2" borderId="0" xfId="0" applyNumberFormat="1" applyFont="1" applyFill="1" applyBorder="1" applyAlignment="1" applyProtection="1">
      <alignment horizontal="right"/>
      <protection locked="0"/>
    </xf>
    <xf numFmtId="0" fontId="0" fillId="2" borderId="0" xfId="0" applyFont="1" applyFill="1" applyBorder="1" applyAlignment="1" applyProtection="1">
      <alignment horizontal="right"/>
      <protection locked="0"/>
    </xf>
    <xf numFmtId="2" fontId="2" fillId="2" borderId="0" xfId="0" applyNumberFormat="1" applyFont="1" applyFill="1" applyBorder="1" applyAlignment="1" applyProtection="1">
      <alignment/>
      <protection locked="0"/>
    </xf>
    <xf numFmtId="166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alignment horizontal="right"/>
      <protection locked="0"/>
    </xf>
    <xf numFmtId="166" fontId="2" fillId="2" borderId="0" xfId="0" applyNumberFormat="1" applyFont="1" applyFill="1" applyBorder="1" applyAlignment="1" applyProtection="1">
      <alignment/>
      <protection locked="0"/>
    </xf>
    <xf numFmtId="166" fontId="2" fillId="2" borderId="1" xfId="0" applyNumberFormat="1" applyFont="1" applyFill="1" applyBorder="1" applyAlignment="1" applyProtection="1">
      <alignment/>
      <protection locked="0"/>
    </xf>
    <xf numFmtId="166" fontId="2" fillId="2" borderId="9" xfId="0" applyNumberFormat="1" applyFont="1" applyFill="1" applyBorder="1" applyAlignment="1" applyProtection="1">
      <alignment horizontal="center"/>
      <protection locked="0"/>
    </xf>
    <xf numFmtId="2" fontId="2" fillId="2" borderId="9" xfId="0" applyNumberFormat="1" applyFont="1" applyFill="1" applyBorder="1" applyAlignment="1" applyProtection="1">
      <alignment horizontal="center"/>
      <protection locked="0"/>
    </xf>
    <xf numFmtId="0" fontId="27" fillId="0" borderId="0" xfId="0" applyFont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29" fillId="0" borderId="0" xfId="0" applyFont="1" applyBorder="1" applyAlignment="1" applyProtection="1">
      <alignment/>
      <protection locked="0"/>
    </xf>
    <xf numFmtId="2" fontId="29" fillId="0" borderId="0" xfId="0" applyNumberFormat="1" applyFont="1" applyBorder="1" applyAlignment="1" applyProtection="1">
      <alignment/>
      <protection locked="0"/>
    </xf>
    <xf numFmtId="0" fontId="0" fillId="0" borderId="8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15" fillId="0" borderId="0" xfId="0" applyFont="1" applyAlignment="1" applyProtection="1">
      <alignment/>
      <protection locked="0"/>
    </xf>
    <xf numFmtId="166" fontId="5" fillId="0" borderId="0" xfId="0" applyNumberFormat="1" applyFont="1" applyBorder="1" applyAlignment="1" applyProtection="1">
      <alignment horizontal="center"/>
      <protection locked="0"/>
    </xf>
    <xf numFmtId="166" fontId="5" fillId="0" borderId="10" xfId="0" applyNumberFormat="1" applyFont="1" applyBorder="1" applyAlignment="1" applyProtection="1">
      <alignment/>
      <protection locked="0"/>
    </xf>
    <xf numFmtId="166" fontId="5" fillId="0" borderId="16" xfId="0" applyNumberFormat="1" applyFont="1" applyBorder="1" applyAlignment="1" applyProtection="1">
      <alignment horizontal="center"/>
      <protection locked="0"/>
    </xf>
    <xf numFmtId="166" fontId="5" fillId="0" borderId="17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18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/>
      <protection locked="0"/>
    </xf>
    <xf numFmtId="2" fontId="5" fillId="0" borderId="0" xfId="0" applyNumberFormat="1" applyFont="1" applyBorder="1" applyAlignment="1" applyProtection="1">
      <alignment/>
      <protection locked="0"/>
    </xf>
    <xf numFmtId="0" fontId="7" fillId="0" borderId="11" xfId="0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166" fontId="5" fillId="0" borderId="19" xfId="0" applyNumberFormat="1" applyFont="1" applyBorder="1" applyAlignment="1" applyProtection="1">
      <alignment horizontal="center"/>
      <protection locked="0"/>
    </xf>
    <xf numFmtId="166" fontId="5" fillId="0" borderId="1" xfId="0" applyNumberFormat="1" applyFont="1" applyBorder="1" applyAlignment="1" applyProtection="1">
      <alignment horizontal="center"/>
      <protection locked="0"/>
    </xf>
    <xf numFmtId="166" fontId="5" fillId="0" borderId="14" xfId="0" applyNumberFormat="1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right"/>
      <protection locked="0"/>
    </xf>
    <xf numFmtId="166" fontId="6" fillId="0" borderId="0" xfId="0" applyNumberFormat="1" applyFont="1" applyBorder="1" applyAlignment="1" applyProtection="1">
      <alignment horizontal="center"/>
      <protection locked="0"/>
    </xf>
    <xf numFmtId="166" fontId="6" fillId="0" borderId="16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/>
      <protection locked="0"/>
    </xf>
    <xf numFmtId="165" fontId="6" fillId="0" borderId="11" xfId="0" applyNumberFormat="1" applyFont="1" applyBorder="1" applyAlignment="1" applyProtection="1">
      <alignment horizontal="center"/>
      <protection locked="0"/>
    </xf>
    <xf numFmtId="165" fontId="6" fillId="0" borderId="1" xfId="0" applyNumberFormat="1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right"/>
      <protection locked="0"/>
    </xf>
    <xf numFmtId="166" fontId="5" fillId="0" borderId="12" xfId="0" applyNumberFormat="1" applyFont="1" applyBorder="1" applyAlignment="1" applyProtection="1">
      <alignment horizontal="center"/>
      <protection locked="0"/>
    </xf>
    <xf numFmtId="166" fontId="5" fillId="0" borderId="13" xfId="0" applyNumberFormat="1" applyFont="1" applyBorder="1" applyAlignment="1" applyProtection="1">
      <alignment horizontal="center"/>
      <protection locked="0"/>
    </xf>
    <xf numFmtId="0" fontId="0" fillId="0" borderId="20" xfId="0" applyFont="1" applyFill="1" applyBorder="1" applyAlignment="1" applyProtection="1">
      <alignment horizontal="center"/>
      <protection locked="0"/>
    </xf>
    <xf numFmtId="166" fontId="5" fillId="0" borderId="21" xfId="0" applyNumberFormat="1" applyFont="1" applyBorder="1" applyAlignment="1" applyProtection="1">
      <alignment horizontal="center"/>
      <protection locked="0"/>
    </xf>
    <xf numFmtId="166" fontId="5" fillId="0" borderId="5" xfId="0" applyNumberFormat="1" applyFont="1" applyBorder="1" applyAlignment="1" applyProtection="1">
      <alignment horizontal="center"/>
      <protection locked="0"/>
    </xf>
    <xf numFmtId="166" fontId="5" fillId="0" borderId="22" xfId="0" applyNumberFormat="1" applyFont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left"/>
      <protection locked="0"/>
    </xf>
    <xf numFmtId="166" fontId="5" fillId="0" borderId="23" xfId="0" applyNumberFormat="1" applyFont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 quotePrefix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166" fontId="5" fillId="0" borderId="24" xfId="0" applyNumberFormat="1" applyFont="1" applyBorder="1" applyAlignment="1" applyProtection="1">
      <alignment horizontal="center"/>
      <protection locked="0"/>
    </xf>
    <xf numFmtId="166" fontId="5" fillId="0" borderId="4" xfId="0" applyNumberFormat="1" applyFont="1" applyBorder="1" applyAlignment="1" applyProtection="1">
      <alignment horizontal="center"/>
      <protection locked="0"/>
    </xf>
    <xf numFmtId="166" fontId="5" fillId="0" borderId="25" xfId="0" applyNumberFormat="1" applyFont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 horizontal="center"/>
      <protection locked="0"/>
    </xf>
    <xf numFmtId="0" fontId="0" fillId="0" borderId="27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166" fontId="5" fillId="0" borderId="28" xfId="0" applyNumberFormat="1" applyFont="1" applyBorder="1" applyAlignment="1" applyProtection="1">
      <alignment horizontal="center"/>
      <protection locked="0"/>
    </xf>
    <xf numFmtId="166" fontId="5" fillId="0" borderId="11" xfId="0" applyNumberFormat="1" applyFont="1" applyBorder="1" applyAlignment="1" applyProtection="1">
      <alignment/>
      <protection locked="0"/>
    </xf>
    <xf numFmtId="0" fontId="5" fillId="0" borderId="1" xfId="0" applyFont="1" applyBorder="1" applyAlignment="1" applyProtection="1">
      <alignment/>
      <protection locked="0"/>
    </xf>
    <xf numFmtId="2" fontId="5" fillId="0" borderId="1" xfId="0" applyNumberFormat="1" applyFont="1" applyBorder="1" applyAlignment="1" applyProtection="1">
      <alignment/>
      <protection locked="0"/>
    </xf>
    <xf numFmtId="0" fontId="26" fillId="0" borderId="0" xfId="0" applyFont="1" applyAlignment="1" applyProtection="1">
      <alignment horizontal="left"/>
      <protection locked="0"/>
    </xf>
    <xf numFmtId="0" fontId="2" fillId="2" borderId="29" xfId="0" applyFont="1" applyFill="1" applyBorder="1" applyAlignment="1" applyProtection="1">
      <alignment horizontal="center"/>
      <protection locked="0"/>
    </xf>
    <xf numFmtId="0" fontId="0" fillId="0" borderId="30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/>
      <protection locked="0"/>
    </xf>
    <xf numFmtId="0" fontId="0" fillId="0" borderId="32" xfId="0" applyFont="1" applyBorder="1" applyAlignment="1" applyProtection="1">
      <alignment/>
      <protection locked="0"/>
    </xf>
    <xf numFmtId="0" fontId="2" fillId="2" borderId="33" xfId="0" applyFont="1" applyFill="1" applyBorder="1" applyAlignment="1" applyProtection="1">
      <alignment horizontal="center"/>
      <protection locked="0"/>
    </xf>
    <xf numFmtId="0" fontId="0" fillId="0" borderId="34" xfId="0" applyFont="1" applyBorder="1" applyAlignment="1" applyProtection="1">
      <alignment/>
      <protection locked="0"/>
    </xf>
    <xf numFmtId="0" fontId="0" fillId="0" borderId="35" xfId="0" applyFont="1" applyBorder="1" applyAlignment="1" applyProtection="1">
      <alignment/>
      <protection locked="0"/>
    </xf>
    <xf numFmtId="0" fontId="0" fillId="0" borderId="36" xfId="0" applyFont="1" applyBorder="1" applyAlignment="1" applyProtection="1">
      <alignment/>
      <protection locked="0"/>
    </xf>
    <xf numFmtId="0" fontId="2" fillId="2" borderId="37" xfId="0" applyFont="1" applyFill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2" fontId="5" fillId="0" borderId="0" xfId="0" applyNumberFormat="1" applyFont="1" applyAlignment="1" applyProtection="1">
      <alignment/>
      <protection locked="0"/>
    </xf>
    <xf numFmtId="168" fontId="5" fillId="0" borderId="0" xfId="0" applyNumberFormat="1" applyFont="1" applyAlignment="1" applyProtection="1">
      <alignment/>
      <protection locked="0"/>
    </xf>
    <xf numFmtId="2" fontId="5" fillId="0" borderId="5" xfId="0" applyNumberFormat="1" applyFont="1" applyBorder="1" applyAlignment="1" applyProtection="1">
      <alignment/>
      <protection locked="0"/>
    </xf>
    <xf numFmtId="168" fontId="5" fillId="0" borderId="1" xfId="0" applyNumberFormat="1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3" fillId="0" borderId="39" xfId="0" applyFont="1" applyFill="1" applyBorder="1" applyAlignment="1" applyProtection="1">
      <alignment/>
      <protection locked="0"/>
    </xf>
    <xf numFmtId="0" fontId="0" fillId="0" borderId="39" xfId="0" applyFont="1" applyFill="1" applyBorder="1" applyAlignment="1" applyProtection="1">
      <alignment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166" fontId="7" fillId="0" borderId="0" xfId="0" applyNumberFormat="1" applyFont="1" applyFill="1" applyAlignment="1" applyProtection="1">
      <alignment/>
      <protection locked="0"/>
    </xf>
    <xf numFmtId="0" fontId="7" fillId="0" borderId="0" xfId="0" applyFont="1" applyFill="1" applyBorder="1" applyAlignment="1" applyProtection="1" quotePrefix="1">
      <alignment horizontal="center"/>
      <protection locked="0"/>
    </xf>
    <xf numFmtId="166" fontId="5" fillId="0" borderId="0" xfId="0" applyNumberFormat="1" applyFont="1" applyFill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30" fillId="0" borderId="0" xfId="0" applyFont="1" applyFill="1" applyBorder="1" applyAlignment="1" applyProtection="1">
      <alignment horizontal="center"/>
      <protection locked="0"/>
    </xf>
    <xf numFmtId="166" fontId="5" fillId="0" borderId="0" xfId="0" applyNumberFormat="1" applyFont="1" applyFill="1" applyBorder="1" applyAlignment="1" applyProtection="1">
      <alignment/>
      <protection locked="0"/>
    </xf>
    <xf numFmtId="0" fontId="30" fillId="0" borderId="1" xfId="0" applyFont="1" applyFill="1" applyBorder="1" applyAlignment="1" applyProtection="1">
      <alignment horizontal="center"/>
      <protection locked="0"/>
    </xf>
    <xf numFmtId="166" fontId="5" fillId="0" borderId="1" xfId="0" applyNumberFormat="1" applyFont="1" applyFill="1" applyBorder="1" applyAlignment="1" applyProtection="1">
      <alignment/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40" xfId="0" applyFont="1" applyBorder="1" applyAlignment="1" applyProtection="1">
      <alignment horizontal="right"/>
      <protection locked="0"/>
    </xf>
    <xf numFmtId="0" fontId="0" fillId="0" borderId="41" xfId="0" applyFont="1" applyBorder="1" applyAlignment="1" applyProtection="1">
      <alignment horizontal="right"/>
      <protection locked="0"/>
    </xf>
    <xf numFmtId="0" fontId="0" fillId="0" borderId="1" xfId="0" applyFont="1" applyFill="1" applyBorder="1" applyAlignment="1" applyProtection="1">
      <alignment/>
      <protection locked="0"/>
    </xf>
    <xf numFmtId="0" fontId="0" fillId="0" borderId="42" xfId="0" applyFont="1" applyBorder="1" applyAlignment="1" applyProtection="1">
      <alignment horizontal="center"/>
      <protection locked="0"/>
    </xf>
    <xf numFmtId="0" fontId="0" fillId="0" borderId="43" xfId="0" applyFont="1" applyBorder="1" applyAlignment="1" applyProtection="1">
      <alignment horizontal="center"/>
      <protection locked="0"/>
    </xf>
    <xf numFmtId="0" fontId="0" fillId="0" borderId="44" xfId="0" applyFont="1" applyBorder="1" applyAlignment="1" applyProtection="1">
      <alignment horizontal="center"/>
      <protection locked="0"/>
    </xf>
    <xf numFmtId="0" fontId="0" fillId="0" borderId="45" xfId="0" applyFont="1" applyBorder="1" applyAlignment="1" applyProtection="1">
      <alignment horizontal="left"/>
      <protection locked="0"/>
    </xf>
    <xf numFmtId="0" fontId="0" fillId="0" borderId="46" xfId="0" applyFont="1" applyBorder="1" applyAlignment="1" applyProtection="1">
      <alignment horizontal="left"/>
      <protection locked="0"/>
    </xf>
    <xf numFmtId="0" fontId="0" fillId="0" borderId="47" xfId="0" applyFont="1" applyBorder="1" applyAlignment="1" applyProtection="1">
      <alignment horizontal="left"/>
      <protection locked="0"/>
    </xf>
    <xf numFmtId="0" fontId="24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 quotePrefix="1">
      <alignment horizontal="center"/>
      <protection locked="0"/>
    </xf>
    <xf numFmtId="0" fontId="25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 quotePrefix="1">
      <alignment horizontal="center"/>
      <protection locked="0"/>
    </xf>
    <xf numFmtId="0" fontId="20" fillId="0" borderId="0" xfId="0" applyFont="1" applyBorder="1" applyAlignment="1" applyProtection="1" quotePrefix="1">
      <alignment horizontal="center"/>
      <protection locked="0"/>
    </xf>
    <xf numFmtId="0" fontId="0" fillId="0" borderId="0" xfId="0" applyFont="1" applyBorder="1" applyAlignment="1" applyProtection="1" quotePrefix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0" fillId="0" borderId="0" xfId="0" applyFont="1" applyFill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 horizontal="right"/>
      <protection locked="0"/>
    </xf>
    <xf numFmtId="0" fontId="0" fillId="0" borderId="1" xfId="0" applyFont="1" applyFill="1" applyBorder="1" applyAlignment="1" applyProtection="1">
      <alignment horizontal="right"/>
      <protection locked="0"/>
    </xf>
    <xf numFmtId="0" fontId="0" fillId="0" borderId="48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38" fillId="0" borderId="39" xfId="0" applyFont="1" applyFill="1" applyBorder="1" applyAlignment="1" applyProtection="1">
      <alignment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5" fillId="0" borderId="39" xfId="0" applyFont="1" applyFill="1" applyBorder="1" applyAlignment="1" applyProtection="1">
      <alignment horizontal="right"/>
      <protection locked="0"/>
    </xf>
    <xf numFmtId="166" fontId="0" fillId="0" borderId="0" xfId="0" applyNumberFormat="1" applyFont="1" applyFill="1" applyAlignment="1" applyProtection="1">
      <alignment/>
      <protection locked="0"/>
    </xf>
    <xf numFmtId="0" fontId="5" fillId="0" borderId="1" xfId="0" applyFont="1" applyFill="1" applyBorder="1" applyAlignment="1" applyProtection="1">
      <alignment horizontal="right"/>
      <protection locked="0"/>
    </xf>
    <xf numFmtId="166" fontId="0" fillId="0" borderId="0" xfId="0" applyNumberFormat="1" applyFont="1" applyFill="1" applyBorder="1" applyAlignment="1" applyProtection="1">
      <alignment/>
      <protection locked="0"/>
    </xf>
    <xf numFmtId="166" fontId="0" fillId="0" borderId="1" xfId="0" applyNumberFormat="1" applyFont="1" applyFill="1" applyBorder="1" applyAlignment="1" applyProtection="1">
      <alignment/>
      <protection locked="0"/>
    </xf>
    <xf numFmtId="171" fontId="2" fillId="2" borderId="49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right"/>
      <protection locked="0"/>
    </xf>
    <xf numFmtId="0" fontId="23" fillId="3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7" fillId="0" borderId="0" xfId="0" applyFont="1" applyBorder="1" applyAlignment="1" applyProtection="1">
      <alignment horizontal="left"/>
      <protection/>
    </xf>
    <xf numFmtId="0" fontId="17" fillId="3" borderId="0" xfId="0" applyFont="1" applyFill="1" applyBorder="1" applyAlignment="1" applyProtection="1">
      <alignment horizontal="right"/>
      <protection/>
    </xf>
    <xf numFmtId="0" fontId="21" fillId="0" borderId="0" xfId="0" applyFont="1" applyBorder="1" applyAlignment="1" applyProtection="1">
      <alignment horizontal="left"/>
      <protection/>
    </xf>
    <xf numFmtId="0" fontId="0" fillId="3" borderId="0" xfId="0" applyFont="1" applyFill="1" applyBorder="1" applyAlignment="1" applyProtection="1">
      <alignment/>
      <protection/>
    </xf>
    <xf numFmtId="0" fontId="31" fillId="3" borderId="0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32" fillId="0" borderId="0" xfId="0" applyFont="1" applyFill="1" applyBorder="1" applyAlignment="1" applyProtection="1">
      <alignment horizontal="left"/>
      <protection/>
    </xf>
    <xf numFmtId="0" fontId="33" fillId="0" borderId="0" xfId="0" applyFont="1" applyBorder="1" applyAlignment="1" applyProtection="1">
      <alignment/>
      <protection/>
    </xf>
    <xf numFmtId="0" fontId="33" fillId="0" borderId="0" xfId="0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21" fillId="0" borderId="8" xfId="0" applyFont="1" applyBorder="1" applyAlignment="1" applyProtection="1">
      <alignment horizontal="left"/>
      <protection/>
    </xf>
    <xf numFmtId="0" fontId="20" fillId="0" borderId="8" xfId="0" applyFont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0" fillId="0" borderId="1" xfId="0" applyFont="1" applyBorder="1" applyAlignment="1" applyProtection="1">
      <alignment horizontal="right"/>
      <protection/>
    </xf>
    <xf numFmtId="0" fontId="0" fillId="0" borderId="0" xfId="0" applyAlignment="1" applyProtection="1" quotePrefix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0" fillId="0" borderId="48" xfId="0" applyFont="1" applyBorder="1" applyAlignment="1" applyProtection="1">
      <alignment horizontal="right"/>
      <protection/>
    </xf>
    <xf numFmtId="166" fontId="7" fillId="0" borderId="1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center"/>
      <protection/>
    </xf>
    <xf numFmtId="166" fontId="16" fillId="0" borderId="0" xfId="0" applyNumberFormat="1" applyFont="1" applyFill="1" applyBorder="1" applyAlignment="1" applyProtection="1">
      <alignment horizontal="center"/>
      <protection/>
    </xf>
    <xf numFmtId="166" fontId="16" fillId="0" borderId="1" xfId="0" applyNumberFormat="1" applyFont="1" applyFill="1" applyBorder="1" applyAlignment="1" applyProtection="1">
      <alignment horizontal="center"/>
      <protection/>
    </xf>
    <xf numFmtId="0" fontId="22" fillId="0" borderId="48" xfId="0" applyFont="1" applyBorder="1" applyAlignment="1" applyProtection="1">
      <alignment horizontal="left"/>
      <protection/>
    </xf>
    <xf numFmtId="0" fontId="0" fillId="0" borderId="48" xfId="0" applyFont="1" applyBorder="1" applyAlignment="1" applyProtection="1">
      <alignment horizontal="left"/>
      <protection/>
    </xf>
    <xf numFmtId="0" fontId="22" fillId="0" borderId="48" xfId="0" applyFont="1" applyBorder="1" applyAlignment="1" applyProtection="1">
      <alignment horizontal="left"/>
      <protection locked="0"/>
    </xf>
    <xf numFmtId="0" fontId="0" fillId="0" borderId="50" xfId="0" applyBorder="1" applyAlignment="1" applyProtection="1">
      <alignment/>
      <protection locked="0"/>
    </xf>
    <xf numFmtId="0" fontId="0" fillId="0" borderId="51" xfId="0" applyBorder="1" applyAlignment="1" applyProtection="1">
      <alignment/>
      <protection locked="0"/>
    </xf>
    <xf numFmtId="0" fontId="7" fillId="0" borderId="52" xfId="0" applyFont="1" applyBorder="1" applyAlignment="1" applyProtection="1">
      <alignment horizontal="center"/>
      <protection locked="0"/>
    </xf>
    <xf numFmtId="0" fontId="5" fillId="0" borderId="51" xfId="0" applyFont="1" applyBorder="1" applyAlignment="1" applyProtection="1">
      <alignment horizontal="center"/>
      <protection locked="0"/>
    </xf>
    <xf numFmtId="0" fontId="5" fillId="0" borderId="52" xfId="0" applyFont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27" xfId="0" applyFont="1" applyFill="1" applyBorder="1" applyAlignment="1" applyProtection="1">
      <alignment horizontal="center"/>
      <protection locked="0"/>
    </xf>
    <xf numFmtId="0" fontId="2" fillId="2" borderId="25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"/>
          <c:y val="0.09775"/>
          <c:w val="0.84925"/>
          <c:h val="0.77725"/>
        </c:manualLayout>
      </c:layout>
      <c:lineChart>
        <c:grouping val="standard"/>
        <c:varyColors val="0"/>
        <c:ser>
          <c:idx val="0"/>
          <c:order val="0"/>
          <c:tx>
            <c:strRef>
              <c:f>Plotter!$P$14</c:f>
              <c:strCache>
                <c:ptCount val="1"/>
                <c:pt idx="0">
                  <c:v>Menial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Plotter!$O$15:$O$24</c:f>
              <c:numCache>
                <c:ptCount val="10"/>
                <c:pt idx="0">
                  <c:v>3</c:v>
                </c:pt>
                <c:pt idx="1">
                  <c:v>5.111111111111111</c:v>
                </c:pt>
                <c:pt idx="2">
                  <c:v>7.222222222222221</c:v>
                </c:pt>
                <c:pt idx="3">
                  <c:v>9.333333333333332</c:v>
                </c:pt>
                <c:pt idx="4">
                  <c:v>11.444444444444443</c:v>
                </c:pt>
                <c:pt idx="5">
                  <c:v>13.555555555555554</c:v>
                </c:pt>
                <c:pt idx="6">
                  <c:v>15.666666666666664</c:v>
                </c:pt>
                <c:pt idx="7">
                  <c:v>17.777777777777775</c:v>
                </c:pt>
                <c:pt idx="8">
                  <c:v>19.888888888888886</c:v>
                </c:pt>
                <c:pt idx="9">
                  <c:v>21.999999999999996</c:v>
                </c:pt>
              </c:numCache>
            </c:numRef>
          </c:cat>
          <c:val>
            <c:numRef>
              <c:f>Plotter!$P$15:$P$24</c:f>
              <c:numCache>
                <c:ptCount val="10"/>
                <c:pt idx="0">
                  <c:v>0.1216152562671566</c:v>
                </c:pt>
                <c:pt idx="1">
                  <c:v>0.13429836093762573</c:v>
                </c:pt>
                <c:pt idx="2">
                  <c:v>0.1422211458316478</c:v>
                </c:pt>
                <c:pt idx="3">
                  <c:v>0.140487151815855</c:v>
                </c:pt>
                <c:pt idx="4">
                  <c:v>0.1201438819677676</c:v>
                </c:pt>
                <c:pt idx="5">
                  <c:v>0.07443529506285672</c:v>
                </c:pt>
                <c:pt idx="6">
                  <c:v>0.02785643375142576</c:v>
                </c:pt>
                <c:pt idx="7">
                  <c:v>0.006984353394015202</c:v>
                </c:pt>
                <c:pt idx="8">
                  <c:v>0.0014706881471889045</c:v>
                </c:pt>
                <c:pt idx="9">
                  <c:v>0.00029230843721424383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Plotter!$Q$14</c:f>
              <c:strCache>
                <c:ptCount val="1"/>
                <c:pt idx="0">
                  <c:v>BlueCol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9"/>
            <c:spPr>
              <a:ln w="12700">
                <a:solidFill>
                  <a:srgbClr val="000000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numRef>
              <c:f>Plotter!$O$15:$O$24</c:f>
              <c:numCache>
                <c:ptCount val="10"/>
                <c:pt idx="0">
                  <c:v>3</c:v>
                </c:pt>
                <c:pt idx="1">
                  <c:v>5.111111111111111</c:v>
                </c:pt>
                <c:pt idx="2">
                  <c:v>7.222222222222221</c:v>
                </c:pt>
                <c:pt idx="3">
                  <c:v>9.333333333333332</c:v>
                </c:pt>
                <c:pt idx="4">
                  <c:v>11.444444444444443</c:v>
                </c:pt>
                <c:pt idx="5">
                  <c:v>13.555555555555554</c:v>
                </c:pt>
                <c:pt idx="6">
                  <c:v>15.666666666666664</c:v>
                </c:pt>
                <c:pt idx="7">
                  <c:v>17.777777777777775</c:v>
                </c:pt>
                <c:pt idx="8">
                  <c:v>19.888888888888886</c:v>
                </c:pt>
                <c:pt idx="9">
                  <c:v>21.999999999999996</c:v>
                </c:pt>
              </c:numCache>
            </c:numRef>
          </c:cat>
          <c:val>
            <c:numRef>
              <c:f>Plotter!$Q$15:$Q$24</c:f>
              <c:numCache>
                <c:ptCount val="10"/>
                <c:pt idx="0">
                  <c:v>0.7184653736196487</c:v>
                </c:pt>
                <c:pt idx="1">
                  <c:v>0.643178568670487</c:v>
                </c:pt>
                <c:pt idx="2">
                  <c:v>0.5521640094835959</c:v>
                </c:pt>
                <c:pt idx="3">
                  <c:v>0.4421642233671992</c:v>
                </c:pt>
                <c:pt idx="4">
                  <c:v>0.3065432248740744</c:v>
                </c:pt>
                <c:pt idx="5">
                  <c:v>0.15396146876554279</c:v>
                </c:pt>
                <c:pt idx="6">
                  <c:v>0.04670912343136604</c:v>
                </c:pt>
                <c:pt idx="7">
                  <c:v>0.009493917998771926</c:v>
                </c:pt>
                <c:pt idx="8">
                  <c:v>0.0016206264869998255</c:v>
                </c:pt>
                <c:pt idx="9">
                  <c:v>0.0002611239826886147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Plotter!$R$14</c:f>
              <c:strCache>
                <c:ptCount val="1"/>
                <c:pt idx="0">
                  <c:v>Craft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Plotter!$O$15:$O$24</c:f>
              <c:numCache>
                <c:ptCount val="10"/>
                <c:pt idx="0">
                  <c:v>3</c:v>
                </c:pt>
                <c:pt idx="1">
                  <c:v>5.111111111111111</c:v>
                </c:pt>
                <c:pt idx="2">
                  <c:v>7.222222222222221</c:v>
                </c:pt>
                <c:pt idx="3">
                  <c:v>9.333333333333332</c:v>
                </c:pt>
                <c:pt idx="4">
                  <c:v>11.444444444444443</c:v>
                </c:pt>
                <c:pt idx="5">
                  <c:v>13.555555555555554</c:v>
                </c:pt>
                <c:pt idx="6">
                  <c:v>15.666666666666664</c:v>
                </c:pt>
                <c:pt idx="7">
                  <c:v>17.777777777777775</c:v>
                </c:pt>
                <c:pt idx="8">
                  <c:v>19.888888888888886</c:v>
                </c:pt>
                <c:pt idx="9">
                  <c:v>21.999999999999996</c:v>
                </c:pt>
              </c:numCache>
            </c:numRef>
          </c:cat>
          <c:val>
            <c:numRef>
              <c:f>Plotter!$R$15:$R$24</c:f>
              <c:numCache>
                <c:ptCount val="10"/>
                <c:pt idx="0">
                  <c:v>0.15306430028536763</c:v>
                </c:pt>
                <c:pt idx="1">
                  <c:v>0.20604906176210178</c:v>
                </c:pt>
                <c:pt idx="2">
                  <c:v>0.26599788293744553</c:v>
                </c:pt>
                <c:pt idx="3">
                  <c:v>0.32030571863944024</c:v>
                </c:pt>
                <c:pt idx="4">
                  <c:v>0.33392106953493716</c:v>
                </c:pt>
                <c:pt idx="5">
                  <c:v>0.25219423490373183</c:v>
                </c:pt>
                <c:pt idx="6">
                  <c:v>0.11505244019611578</c:v>
                </c:pt>
                <c:pt idx="7">
                  <c:v>0.03516499836033099</c:v>
                </c:pt>
                <c:pt idx="8">
                  <c:v>0.00902649333744087</c:v>
                </c:pt>
                <c:pt idx="9">
                  <c:v>0.002187025780423626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Plotter!$S$14</c:f>
              <c:strCache>
                <c:ptCount val="1"/>
                <c:pt idx="0">
                  <c:v>WhiteCol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Plotter!$O$15:$O$24</c:f>
              <c:numCache>
                <c:ptCount val="10"/>
                <c:pt idx="0">
                  <c:v>3</c:v>
                </c:pt>
                <c:pt idx="1">
                  <c:v>5.111111111111111</c:v>
                </c:pt>
                <c:pt idx="2">
                  <c:v>7.222222222222221</c:v>
                </c:pt>
                <c:pt idx="3">
                  <c:v>9.333333333333332</c:v>
                </c:pt>
                <c:pt idx="4">
                  <c:v>11.444444444444443</c:v>
                </c:pt>
                <c:pt idx="5">
                  <c:v>13.555555555555554</c:v>
                </c:pt>
                <c:pt idx="6">
                  <c:v>15.666666666666664</c:v>
                </c:pt>
                <c:pt idx="7">
                  <c:v>17.777777777777775</c:v>
                </c:pt>
                <c:pt idx="8">
                  <c:v>19.888888888888886</c:v>
                </c:pt>
                <c:pt idx="9">
                  <c:v>21.999999999999996</c:v>
                </c:pt>
              </c:numCache>
            </c:numRef>
          </c:cat>
          <c:val>
            <c:numRef>
              <c:f>Plotter!$S$15:$S$24</c:f>
              <c:numCache>
                <c:ptCount val="10"/>
                <c:pt idx="0">
                  <c:v>0.006701823652610788</c:v>
                </c:pt>
                <c:pt idx="1">
                  <c:v>0.015597900086357164</c:v>
                </c:pt>
                <c:pt idx="2">
                  <c:v>0.034813691802350555</c:v>
                </c:pt>
                <c:pt idx="3">
                  <c:v>0.07247913473692853</c:v>
                </c:pt>
                <c:pt idx="4">
                  <c:v>0.13063770362785715</c:v>
                </c:pt>
                <c:pt idx="5">
                  <c:v>0.17058320772193816</c:v>
                </c:pt>
                <c:pt idx="6">
                  <c:v>0.13454679714711</c:v>
                </c:pt>
                <c:pt idx="7">
                  <c:v>0.07109917126384803</c:v>
                </c:pt>
                <c:pt idx="8">
                  <c:v>0.0315536359397761</c:v>
                </c:pt>
                <c:pt idx="9">
                  <c:v>0.013217844987022978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Plotter!$T$14</c:f>
              <c:strCache>
                <c:ptCount val="1"/>
                <c:pt idx="0">
                  <c:v>prof</c:v>
                </c:pt>
              </c:strCache>
            </c:strRef>
          </c:tx>
          <c:spPr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Plotter!$O$15:$O$24</c:f>
              <c:numCache>
                <c:ptCount val="10"/>
                <c:pt idx="0">
                  <c:v>3</c:v>
                </c:pt>
                <c:pt idx="1">
                  <c:v>5.111111111111111</c:v>
                </c:pt>
                <c:pt idx="2">
                  <c:v>7.222222222222221</c:v>
                </c:pt>
                <c:pt idx="3">
                  <c:v>9.333333333333332</c:v>
                </c:pt>
                <c:pt idx="4">
                  <c:v>11.444444444444443</c:v>
                </c:pt>
                <c:pt idx="5">
                  <c:v>13.555555555555554</c:v>
                </c:pt>
                <c:pt idx="6">
                  <c:v>15.666666666666664</c:v>
                </c:pt>
                <c:pt idx="7">
                  <c:v>17.777777777777775</c:v>
                </c:pt>
                <c:pt idx="8">
                  <c:v>19.888888888888886</c:v>
                </c:pt>
                <c:pt idx="9">
                  <c:v>21.999999999999996</c:v>
                </c:pt>
              </c:numCache>
            </c:numRef>
          </c:cat>
          <c:val>
            <c:numRef>
              <c:f>Plotter!$T$15:$T$24</c:f>
              <c:numCache>
                <c:ptCount val="10"/>
                <c:pt idx="0">
                  <c:v>0.00015324617521636385</c:v>
                </c:pt>
                <c:pt idx="1">
                  <c:v>0.0008761085434282678</c:v>
                </c:pt>
                <c:pt idx="2">
                  <c:v>0.004803269944960171</c:v>
                </c:pt>
                <c:pt idx="3">
                  <c:v>0.02456377144057695</c:v>
                </c:pt>
                <c:pt idx="4">
                  <c:v>0.1087541199953638</c:v>
                </c:pt>
                <c:pt idx="5">
                  <c:v>0.3488257935459305</c:v>
                </c:pt>
                <c:pt idx="6">
                  <c:v>0.6758352054739826</c:v>
                </c:pt>
                <c:pt idx="7">
                  <c:v>0.8772575589830339</c:v>
                </c:pt>
                <c:pt idx="8">
                  <c:v>0.9563285560885942</c:v>
                </c:pt>
                <c:pt idx="9">
                  <c:v>0.9840416968126505</c:v>
                </c:pt>
              </c:numCache>
            </c:numRef>
          </c:val>
          <c:smooth val="0"/>
        </c:ser>
        <c:marker val="1"/>
        <c:axId val="31193969"/>
        <c:axId val="12310266"/>
      </c:lineChart>
      <c:catAx>
        <c:axId val="311939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Education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2310266"/>
        <c:crosses val="autoZero"/>
        <c:auto val="0"/>
        <c:lblOffset val="100"/>
        <c:tickLblSkip val="3"/>
        <c:noMultiLvlLbl val="0"/>
      </c:catAx>
      <c:valAx>
        <c:axId val="12310266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Predicted Probability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1193969"/>
        <c:crossesAt val="1"/>
        <c:crossBetween val="between"/>
        <c:dispUnits/>
      </c:valAx>
      <c:spPr>
        <a:noFill/>
        <a:ln w="12700">
          <a:solidFill>
            <a:srgbClr val="333333"/>
          </a:solidFill>
        </a:ln>
      </c:spPr>
    </c:plotArea>
    <c:legend>
      <c:legendPos val="t"/>
      <c:layout>
        <c:manualLayout>
          <c:xMode val="edge"/>
          <c:yMode val="edge"/>
          <c:x val="0.224"/>
          <c:y val="0.00575"/>
        </c:manualLayout>
      </c:layout>
      <c:overlay val="0"/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12</xdr:row>
      <xdr:rowOff>9525</xdr:rowOff>
    </xdr:from>
    <xdr:to>
      <xdr:col>10</xdr:col>
      <xdr:colOff>304800</xdr:colOff>
      <xdr:row>34</xdr:row>
      <xdr:rowOff>28575</xdr:rowOff>
    </xdr:to>
    <xdr:graphicFrame>
      <xdr:nvGraphicFramePr>
        <xdr:cNvPr id="1" name="Chart 7"/>
        <xdr:cNvGraphicFramePr/>
      </xdr:nvGraphicFramePr>
      <xdr:xfrm>
        <a:off x="209550" y="2647950"/>
        <a:ext cx="585787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X65"/>
  <sheetViews>
    <sheetView showGridLines="0" tabSelected="1" zoomScale="95" zoomScaleNormal="95" workbookViewId="0" topLeftCell="A1">
      <selection activeCell="B9" sqref="B9"/>
    </sheetView>
  </sheetViews>
  <sheetFormatPr defaultColWidth="9.140625" defaultRowHeight="12.75"/>
  <cols>
    <col min="1" max="1" width="2.28125" style="22" customWidth="1"/>
    <col min="2" max="8" width="9.140625" style="22" customWidth="1"/>
    <col min="9" max="9" width="0" style="22" hidden="1" customWidth="1"/>
    <col min="10" max="16384" width="9.140625" style="22" customWidth="1"/>
  </cols>
  <sheetData>
    <row r="1" spans="1:102" ht="21.75" customHeight="1">
      <c r="A1" s="20"/>
      <c r="B1" s="206" t="s">
        <v>109</v>
      </c>
      <c r="C1" s="207"/>
      <c r="D1" s="207"/>
      <c r="E1" s="207"/>
      <c r="F1" s="208" t="s">
        <v>116</v>
      </c>
      <c r="G1" s="207"/>
      <c r="H1" s="209"/>
      <c r="I1" s="207"/>
      <c r="J1" s="207"/>
      <c r="K1" s="207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</row>
    <row r="2" spans="1:102" ht="18.75" customHeight="1">
      <c r="A2" s="20"/>
      <c r="B2" s="210" t="s">
        <v>63</v>
      </c>
      <c r="C2" s="211"/>
      <c r="D2" s="211"/>
      <c r="E2" s="211"/>
      <c r="F2" s="211"/>
      <c r="G2" s="211"/>
      <c r="H2" s="207"/>
      <c r="I2" s="212"/>
      <c r="J2" s="207"/>
      <c r="K2" s="207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</row>
    <row r="3" spans="1:102" ht="15" customHeight="1">
      <c r="A3" s="25"/>
      <c r="B3" s="213" t="s">
        <v>64</v>
      </c>
      <c r="C3" s="214"/>
      <c r="D3" s="215"/>
      <c r="E3" s="216"/>
      <c r="F3" s="214"/>
      <c r="G3" s="214"/>
      <c r="H3" s="217"/>
      <c r="I3" s="218"/>
      <c r="J3" s="219"/>
      <c r="K3" s="207"/>
      <c r="M3" s="20"/>
      <c r="N3" s="20"/>
      <c r="O3" s="25"/>
      <c r="P3" s="25"/>
      <c r="Q3" s="25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</row>
    <row r="4" spans="1:102" ht="15" customHeight="1">
      <c r="A4" s="25"/>
      <c r="B4" s="220" t="s">
        <v>110</v>
      </c>
      <c r="C4" s="214"/>
      <c r="D4" s="215"/>
      <c r="E4" s="216"/>
      <c r="F4" s="214"/>
      <c r="G4" s="214"/>
      <c r="H4" s="217"/>
      <c r="I4" s="217"/>
      <c r="J4" s="221"/>
      <c r="K4" s="207"/>
      <c r="L4" s="20"/>
      <c r="M4" s="20"/>
      <c r="N4" s="20"/>
      <c r="O4" s="25"/>
      <c r="P4" s="25"/>
      <c r="Q4" s="25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ht="15" customHeight="1">
      <c r="A5" s="25"/>
      <c r="B5" s="222" t="s">
        <v>133</v>
      </c>
      <c r="C5" s="214"/>
      <c r="D5" s="215"/>
      <c r="E5" s="216"/>
      <c r="F5" s="214"/>
      <c r="G5" s="214"/>
      <c r="H5" s="217"/>
      <c r="I5" s="217"/>
      <c r="J5" s="207"/>
      <c r="K5" s="207"/>
      <c r="L5" s="20"/>
      <c r="M5" s="20"/>
      <c r="N5" s="20"/>
      <c r="O5" s="20"/>
      <c r="P5" s="20"/>
      <c r="Q5" s="25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</row>
    <row r="6" spans="1:102" ht="15" customHeight="1">
      <c r="A6" s="30"/>
      <c r="B6" s="32"/>
      <c r="C6" s="63"/>
      <c r="D6" s="64"/>
      <c r="E6" s="32"/>
      <c r="F6" s="32"/>
      <c r="G6" s="32"/>
      <c r="H6" s="32"/>
      <c r="I6" s="32"/>
      <c r="J6" s="30"/>
      <c r="K6" s="30"/>
      <c r="L6" s="65"/>
      <c r="M6" s="32"/>
      <c r="N6" s="32"/>
      <c r="O6" s="32"/>
      <c r="P6" s="32"/>
      <c r="Q6" s="32"/>
      <c r="R6" s="32"/>
      <c r="S6" s="32"/>
      <c r="T6" s="32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</row>
    <row r="7" spans="1:102" ht="24" customHeight="1" thickBot="1">
      <c r="A7" s="25"/>
      <c r="B7" s="223" t="s">
        <v>111</v>
      </c>
      <c r="C7" s="224"/>
      <c r="D7" s="225"/>
      <c r="E7" s="225"/>
      <c r="F7" s="226"/>
      <c r="G7" s="20"/>
      <c r="H7" s="20"/>
      <c r="I7" s="20"/>
      <c r="J7" s="25"/>
      <c r="K7" s="25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</row>
    <row r="8" spans="1:102" ht="15" customHeight="1" thickTop="1">
      <c r="A8" s="25"/>
      <c r="B8" s="227" t="s">
        <v>6</v>
      </c>
      <c r="C8" s="227" t="s">
        <v>1</v>
      </c>
      <c r="D8" s="227" t="s">
        <v>54</v>
      </c>
      <c r="E8" s="227" t="s">
        <v>8</v>
      </c>
      <c r="F8" s="228" t="s">
        <v>9</v>
      </c>
      <c r="L8" s="28"/>
      <c r="M8" s="20"/>
      <c r="N8" s="20"/>
      <c r="P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</row>
    <row r="9" spans="1:102" ht="15" customHeight="1">
      <c r="A9" s="25"/>
      <c r="B9" s="62" t="s">
        <v>143</v>
      </c>
      <c r="C9" s="77">
        <v>3.397626</v>
      </c>
      <c r="D9" s="77">
        <v>1.367913</v>
      </c>
      <c r="E9" s="78">
        <v>1</v>
      </c>
      <c r="F9" s="78">
        <v>5</v>
      </c>
      <c r="G9" s="229"/>
      <c r="H9" s="230" t="s">
        <v>112</v>
      </c>
      <c r="J9" s="204" t="s">
        <v>15</v>
      </c>
      <c r="L9" s="20"/>
      <c r="M9" s="20"/>
      <c r="N9" s="20"/>
      <c r="O9" s="20"/>
      <c r="P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</row>
    <row r="10" spans="1:102" ht="15" customHeight="1" hidden="1">
      <c r="A10" s="25"/>
      <c r="B10" s="25"/>
      <c r="C10" s="29"/>
      <c r="D10" s="25"/>
      <c r="E10" s="25"/>
      <c r="F10" s="25"/>
      <c r="G10" s="20"/>
      <c r="H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</row>
    <row r="11" spans="1:102" ht="15" customHeight="1">
      <c r="A11" s="25"/>
      <c r="B11" s="34"/>
      <c r="C11" s="25"/>
      <c r="D11" s="20"/>
      <c r="E11" s="20"/>
      <c r="F11" s="20"/>
      <c r="G11" s="20"/>
      <c r="H11" s="20"/>
      <c r="I11" s="25"/>
      <c r="J11" s="25"/>
      <c r="K11" s="25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</row>
    <row r="12" spans="1:20" ht="24" customHeight="1" thickBot="1">
      <c r="A12" s="20"/>
      <c r="B12" s="223" t="s">
        <v>113</v>
      </c>
      <c r="C12" s="226"/>
      <c r="D12" s="226"/>
      <c r="E12" s="226"/>
      <c r="F12" s="226"/>
      <c r="G12" s="226"/>
      <c r="H12" s="226"/>
      <c r="I12" s="27"/>
      <c r="J12" s="20"/>
      <c r="K12" s="234" t="s">
        <v>114</v>
      </c>
      <c r="L12" s="207"/>
      <c r="M12" s="207"/>
      <c r="N12" s="207"/>
      <c r="O12" s="207"/>
      <c r="P12" s="207"/>
      <c r="Q12" s="207"/>
      <c r="R12" s="207"/>
      <c r="S12" s="207"/>
      <c r="T12" s="207"/>
    </row>
    <row r="13" spans="2:20" ht="15" customHeight="1" thickTop="1">
      <c r="B13" s="231" t="s">
        <v>53</v>
      </c>
      <c r="C13" s="231"/>
      <c r="D13" s="231" t="s">
        <v>51</v>
      </c>
      <c r="E13" s="231"/>
      <c r="F13" s="231"/>
      <c r="G13" s="231" t="s">
        <v>0</v>
      </c>
      <c r="H13" s="231" t="s">
        <v>2</v>
      </c>
      <c r="I13" s="82"/>
      <c r="K13" s="235"/>
      <c r="L13" s="240" t="s">
        <v>65</v>
      </c>
      <c r="M13" s="235"/>
      <c r="N13" s="241"/>
      <c r="O13" s="235"/>
      <c r="P13" s="235"/>
      <c r="Q13" s="235"/>
      <c r="R13" s="235"/>
      <c r="S13" s="235"/>
      <c r="T13" s="235"/>
    </row>
    <row r="14" spans="2:20" ht="15" customHeight="1">
      <c r="B14" s="232" t="s">
        <v>0</v>
      </c>
      <c r="C14" s="232" t="s">
        <v>1</v>
      </c>
      <c r="D14" s="232" t="s">
        <v>52</v>
      </c>
      <c r="E14" s="232" t="s">
        <v>8</v>
      </c>
      <c r="F14" s="232" t="s">
        <v>9</v>
      </c>
      <c r="G14" s="232" t="s">
        <v>3</v>
      </c>
      <c r="H14" s="232" t="s">
        <v>12</v>
      </c>
      <c r="I14" s="82"/>
      <c r="K14" s="236" t="s">
        <v>108</v>
      </c>
      <c r="L14" s="3" t="s">
        <v>16</v>
      </c>
      <c r="M14" s="3" t="s">
        <v>17</v>
      </c>
      <c r="N14" s="3" t="s">
        <v>18</v>
      </c>
      <c r="O14" s="3" t="s">
        <v>48</v>
      </c>
      <c r="P14" s="3"/>
      <c r="Q14" s="3"/>
      <c r="R14" s="3"/>
      <c r="S14" s="3"/>
      <c r="T14" s="3"/>
    </row>
    <row r="15" spans="2:20" ht="15" customHeight="1">
      <c r="B15" s="233" t="s">
        <v>46</v>
      </c>
      <c r="C15" s="233" t="s">
        <v>46</v>
      </c>
      <c r="D15" s="233" t="s">
        <v>46</v>
      </c>
      <c r="E15" s="233" t="s">
        <v>46</v>
      </c>
      <c r="F15" s="233" t="s">
        <v>46</v>
      </c>
      <c r="G15" s="233" t="s">
        <v>46</v>
      </c>
      <c r="H15" s="233" t="s">
        <v>46</v>
      </c>
      <c r="I15" s="83"/>
      <c r="K15" s="237" t="s">
        <v>13</v>
      </c>
      <c r="L15" s="66">
        <v>0.7412336</v>
      </c>
      <c r="M15" s="66">
        <v>-1.091353</v>
      </c>
      <c r="N15" s="66">
        <v>-6.238608</v>
      </c>
      <c r="O15" s="75">
        <v>-11.51833</v>
      </c>
      <c r="P15" s="75"/>
      <c r="Q15" s="75"/>
      <c r="R15" s="75"/>
      <c r="S15" s="75"/>
      <c r="T15" s="75"/>
    </row>
    <row r="16" spans="2:20" ht="15" customHeight="1">
      <c r="B16" s="33" t="s">
        <v>20</v>
      </c>
      <c r="C16" s="66">
        <v>0.9169139</v>
      </c>
      <c r="D16" s="66">
        <v>0.2764227</v>
      </c>
      <c r="E16" s="67">
        <v>0</v>
      </c>
      <c r="F16" s="67">
        <v>1</v>
      </c>
      <c r="G16" s="4" t="s">
        <v>75</v>
      </c>
      <c r="H16" s="4">
        <v>1</v>
      </c>
      <c r="I16" s="84">
        <f>IF(H16="","",IF(H16="M",mn,IF(H16="Min",min,IF(H16="Max",max,H16))))</f>
        <v>1</v>
      </c>
      <c r="K16" s="238" t="str">
        <f>IF(RHV="","---",RHV)</f>
        <v>WHITE</v>
      </c>
      <c r="L16" s="75">
        <v>1.236504</v>
      </c>
      <c r="M16" s="75">
        <v>0.4723436</v>
      </c>
      <c r="N16" s="75">
        <v>1.571385</v>
      </c>
      <c r="O16" s="75">
        <v>1.774306</v>
      </c>
      <c r="P16" s="75"/>
      <c r="Q16" s="75"/>
      <c r="R16" s="75"/>
      <c r="S16" s="75"/>
      <c r="T16" s="75"/>
    </row>
    <row r="17" spans="2:20" ht="15" customHeight="1">
      <c r="B17" s="1" t="s">
        <v>21</v>
      </c>
      <c r="C17" s="68">
        <v>13.09496</v>
      </c>
      <c r="D17" s="68">
        <v>2.946427</v>
      </c>
      <c r="E17" s="69">
        <v>3</v>
      </c>
      <c r="F17" s="69">
        <v>20</v>
      </c>
      <c r="G17" s="4" t="s">
        <v>77</v>
      </c>
      <c r="H17" s="4" t="s">
        <v>115</v>
      </c>
      <c r="I17" s="84">
        <f aca="true" t="shared" si="0" ref="I17:I65">IF(H17="","",IF(H17="M",mn,IF(H17="Min",min,IF(H17="Max",max,H17))))</f>
        <v>13.09496</v>
      </c>
      <c r="K17" s="238" t="str">
        <f aca="true" t="shared" si="1" ref="K17:K65">IF(RHV="","---",RHV)</f>
        <v>ED</v>
      </c>
      <c r="L17" s="75">
        <v>-0.0994247</v>
      </c>
      <c r="M17" s="75">
        <v>0.0938154</v>
      </c>
      <c r="N17" s="75">
        <v>0.3531577</v>
      </c>
      <c r="O17" s="75">
        <v>0.7788519</v>
      </c>
      <c r="P17" s="75"/>
      <c r="Q17" s="75"/>
      <c r="R17" s="75"/>
      <c r="S17" s="75"/>
      <c r="T17" s="75"/>
    </row>
    <row r="18" spans="2:20" ht="15" customHeight="1">
      <c r="B18" s="1" t="s">
        <v>22</v>
      </c>
      <c r="C18" s="68">
        <v>20.50148</v>
      </c>
      <c r="D18" s="68">
        <v>13.95936</v>
      </c>
      <c r="E18" s="69">
        <v>2</v>
      </c>
      <c r="F18" s="69">
        <v>66</v>
      </c>
      <c r="G18" s="4" t="s">
        <v>77</v>
      </c>
      <c r="H18" s="4" t="s">
        <v>115</v>
      </c>
      <c r="I18" s="84">
        <f t="shared" si="0"/>
        <v>20.50148</v>
      </c>
      <c r="K18" s="238" t="str">
        <f t="shared" si="1"/>
        <v>EXPER</v>
      </c>
      <c r="L18" s="75">
        <v>0.0047212</v>
      </c>
      <c r="M18" s="75">
        <v>0.0276838</v>
      </c>
      <c r="N18" s="75">
        <v>0.0345959</v>
      </c>
      <c r="O18" s="75">
        <v>0.0356509</v>
      </c>
      <c r="P18" s="75"/>
      <c r="Q18" s="75"/>
      <c r="R18" s="75"/>
      <c r="S18" s="75"/>
      <c r="T18" s="75"/>
    </row>
    <row r="19" spans="2:20" ht="15" customHeight="1">
      <c r="B19" s="1"/>
      <c r="C19" s="68"/>
      <c r="D19" s="68"/>
      <c r="E19" s="69"/>
      <c r="F19" s="69"/>
      <c r="G19" s="70"/>
      <c r="H19" s="70"/>
      <c r="I19" s="84">
        <f t="shared" si="0"/>
      </c>
      <c r="K19" s="238" t="str">
        <f t="shared" si="1"/>
        <v>---</v>
      </c>
      <c r="L19" s="66"/>
      <c r="M19" s="66"/>
      <c r="N19" s="66"/>
      <c r="O19" s="75"/>
      <c r="P19" s="75"/>
      <c r="Q19" s="75"/>
      <c r="R19" s="75"/>
      <c r="S19" s="75"/>
      <c r="T19" s="75"/>
    </row>
    <row r="20" spans="2:20" ht="15" customHeight="1">
      <c r="B20" s="1"/>
      <c r="C20" s="68"/>
      <c r="D20" s="68"/>
      <c r="E20" s="69"/>
      <c r="F20" s="69"/>
      <c r="G20" s="70"/>
      <c r="H20" s="70"/>
      <c r="I20" s="84">
        <f t="shared" si="0"/>
      </c>
      <c r="K20" s="238" t="str">
        <f t="shared" si="1"/>
        <v>---</v>
      </c>
      <c r="L20" s="75"/>
      <c r="M20" s="75"/>
      <c r="N20" s="75"/>
      <c r="O20" s="75"/>
      <c r="P20" s="75"/>
      <c r="Q20" s="75"/>
      <c r="R20" s="75"/>
      <c r="S20" s="75"/>
      <c r="T20" s="75"/>
    </row>
    <row r="21" spans="2:20" ht="15" customHeight="1">
      <c r="B21" s="1"/>
      <c r="C21" s="68"/>
      <c r="D21" s="68"/>
      <c r="E21" s="69"/>
      <c r="F21" s="69"/>
      <c r="G21" s="70"/>
      <c r="H21" s="70"/>
      <c r="I21" s="84">
        <f t="shared" si="0"/>
      </c>
      <c r="K21" s="238" t="str">
        <f t="shared" si="1"/>
        <v>---</v>
      </c>
      <c r="L21" s="75"/>
      <c r="M21" s="75"/>
      <c r="N21" s="75"/>
      <c r="O21" s="75"/>
      <c r="P21" s="75"/>
      <c r="Q21" s="75"/>
      <c r="R21" s="75"/>
      <c r="S21" s="75"/>
      <c r="T21" s="75"/>
    </row>
    <row r="22" spans="2:20" ht="15" customHeight="1">
      <c r="B22" s="1"/>
      <c r="C22" s="68"/>
      <c r="D22" s="68"/>
      <c r="E22" s="69"/>
      <c r="F22" s="69"/>
      <c r="G22" s="70"/>
      <c r="H22" s="70"/>
      <c r="I22" s="84">
        <f t="shared" si="0"/>
      </c>
      <c r="K22" s="238" t="str">
        <f t="shared" si="1"/>
        <v>---</v>
      </c>
      <c r="L22" s="75"/>
      <c r="M22" s="75"/>
      <c r="N22" s="75"/>
      <c r="O22" s="75"/>
      <c r="P22" s="75"/>
      <c r="Q22" s="75"/>
      <c r="R22" s="75"/>
      <c r="S22" s="75"/>
      <c r="T22" s="75"/>
    </row>
    <row r="23" spans="2:20" ht="15" customHeight="1">
      <c r="B23" s="1"/>
      <c r="C23" s="68"/>
      <c r="D23" s="68"/>
      <c r="E23" s="71"/>
      <c r="F23" s="71"/>
      <c r="G23" s="70"/>
      <c r="H23" s="70"/>
      <c r="I23" s="84">
        <f t="shared" si="0"/>
      </c>
      <c r="K23" s="238" t="str">
        <f t="shared" si="1"/>
        <v>---</v>
      </c>
      <c r="L23" s="75"/>
      <c r="M23" s="75"/>
      <c r="N23" s="75"/>
      <c r="O23" s="75"/>
      <c r="P23" s="75"/>
      <c r="Q23" s="75"/>
      <c r="R23" s="75"/>
      <c r="S23" s="75"/>
      <c r="T23" s="75"/>
    </row>
    <row r="24" spans="2:20" ht="15" customHeight="1">
      <c r="B24" s="1"/>
      <c r="C24" s="68"/>
      <c r="D24" s="68"/>
      <c r="E24" s="69"/>
      <c r="F24" s="69"/>
      <c r="G24" s="70"/>
      <c r="H24" s="70"/>
      <c r="I24" s="84">
        <f t="shared" si="0"/>
      </c>
      <c r="K24" s="238" t="str">
        <f t="shared" si="1"/>
        <v>---</v>
      </c>
      <c r="L24" s="75"/>
      <c r="M24" s="75"/>
      <c r="N24" s="75"/>
      <c r="O24" s="75"/>
      <c r="P24" s="75"/>
      <c r="Q24" s="75"/>
      <c r="R24" s="75"/>
      <c r="S24" s="75"/>
      <c r="T24" s="75"/>
    </row>
    <row r="25" spans="2:20" ht="15" customHeight="1">
      <c r="B25" s="1"/>
      <c r="C25" s="68"/>
      <c r="D25" s="68"/>
      <c r="E25" s="69"/>
      <c r="F25" s="69"/>
      <c r="G25" s="70"/>
      <c r="H25" s="70"/>
      <c r="I25" s="84">
        <f t="shared" si="0"/>
      </c>
      <c r="K25" s="238" t="str">
        <f t="shared" si="1"/>
        <v>---</v>
      </c>
      <c r="L25" s="75"/>
      <c r="M25" s="75"/>
      <c r="N25" s="75"/>
      <c r="O25" s="75"/>
      <c r="P25" s="75"/>
      <c r="Q25" s="75"/>
      <c r="R25" s="75"/>
      <c r="S25" s="75"/>
      <c r="T25" s="75"/>
    </row>
    <row r="26" spans="2:20" ht="15" customHeight="1">
      <c r="B26" s="1"/>
      <c r="C26" s="68"/>
      <c r="D26" s="68"/>
      <c r="E26" s="69"/>
      <c r="F26" s="69"/>
      <c r="G26" s="70"/>
      <c r="H26" s="70"/>
      <c r="I26" s="84">
        <f t="shared" si="0"/>
      </c>
      <c r="K26" s="238" t="str">
        <f t="shared" si="1"/>
        <v>---</v>
      </c>
      <c r="L26" s="75"/>
      <c r="M26" s="75"/>
      <c r="N26" s="75"/>
      <c r="O26" s="75"/>
      <c r="P26" s="75"/>
      <c r="Q26" s="75"/>
      <c r="R26" s="75"/>
      <c r="S26" s="75"/>
      <c r="T26" s="75"/>
    </row>
    <row r="27" spans="2:20" ht="15" customHeight="1">
      <c r="B27" s="1"/>
      <c r="C27" s="68"/>
      <c r="D27" s="68"/>
      <c r="E27" s="69"/>
      <c r="F27" s="69"/>
      <c r="G27" s="70"/>
      <c r="H27" s="70"/>
      <c r="I27" s="84">
        <f t="shared" si="0"/>
      </c>
      <c r="K27" s="238" t="str">
        <f t="shared" si="1"/>
        <v>---</v>
      </c>
      <c r="L27" s="75"/>
      <c r="M27" s="75"/>
      <c r="N27" s="75"/>
      <c r="O27" s="75"/>
      <c r="P27" s="75"/>
      <c r="Q27" s="75"/>
      <c r="R27" s="75"/>
      <c r="S27" s="75"/>
      <c r="T27" s="75"/>
    </row>
    <row r="28" spans="2:20" ht="15" customHeight="1">
      <c r="B28" s="1"/>
      <c r="C28" s="68"/>
      <c r="D28" s="68"/>
      <c r="E28" s="69"/>
      <c r="F28" s="69"/>
      <c r="G28" s="70"/>
      <c r="H28" s="70"/>
      <c r="I28" s="84">
        <f t="shared" si="0"/>
      </c>
      <c r="K28" s="238" t="str">
        <f t="shared" si="1"/>
        <v>---</v>
      </c>
      <c r="L28" s="75"/>
      <c r="M28" s="75"/>
      <c r="N28" s="75"/>
      <c r="O28" s="75"/>
      <c r="P28" s="75"/>
      <c r="Q28" s="75"/>
      <c r="R28" s="75"/>
      <c r="S28" s="75"/>
      <c r="T28" s="75"/>
    </row>
    <row r="29" spans="2:20" ht="15" customHeight="1">
      <c r="B29" s="1"/>
      <c r="C29" s="68"/>
      <c r="D29" s="68"/>
      <c r="E29" s="69"/>
      <c r="F29" s="69"/>
      <c r="G29" s="70"/>
      <c r="H29" s="70"/>
      <c r="I29" s="84">
        <f t="shared" si="0"/>
      </c>
      <c r="K29" s="238" t="str">
        <f t="shared" si="1"/>
        <v>---</v>
      </c>
      <c r="L29" s="75"/>
      <c r="M29" s="75"/>
      <c r="N29" s="75"/>
      <c r="O29" s="75"/>
      <c r="P29" s="75"/>
      <c r="Q29" s="75"/>
      <c r="R29" s="75"/>
      <c r="S29" s="75"/>
      <c r="T29" s="75"/>
    </row>
    <row r="30" spans="2:20" ht="15" customHeight="1">
      <c r="B30" s="1"/>
      <c r="C30" s="68"/>
      <c r="D30" s="68"/>
      <c r="E30" s="69"/>
      <c r="F30" s="69"/>
      <c r="G30" s="70"/>
      <c r="H30" s="70"/>
      <c r="I30" s="84">
        <f t="shared" si="0"/>
      </c>
      <c r="K30" s="238" t="str">
        <f t="shared" si="1"/>
        <v>---</v>
      </c>
      <c r="L30" s="75"/>
      <c r="M30" s="75"/>
      <c r="N30" s="75"/>
      <c r="O30" s="75"/>
      <c r="P30" s="75"/>
      <c r="Q30" s="75"/>
      <c r="R30" s="75"/>
      <c r="S30" s="75"/>
      <c r="T30" s="75"/>
    </row>
    <row r="31" spans="2:20" ht="15" customHeight="1">
      <c r="B31" s="1"/>
      <c r="C31" s="68"/>
      <c r="D31" s="68"/>
      <c r="E31" s="69"/>
      <c r="F31" s="69"/>
      <c r="G31" s="70"/>
      <c r="H31" s="70"/>
      <c r="I31" s="84">
        <f t="shared" si="0"/>
      </c>
      <c r="K31" s="238" t="str">
        <f t="shared" si="1"/>
        <v>---</v>
      </c>
      <c r="L31" s="75"/>
      <c r="M31" s="75"/>
      <c r="N31" s="75"/>
      <c r="O31" s="75"/>
      <c r="P31" s="75"/>
      <c r="Q31" s="75"/>
      <c r="R31" s="75"/>
      <c r="S31" s="75"/>
      <c r="T31" s="75"/>
    </row>
    <row r="32" spans="2:20" ht="15" customHeight="1">
      <c r="B32" s="1"/>
      <c r="C32" s="68"/>
      <c r="D32" s="68"/>
      <c r="E32" s="69"/>
      <c r="F32" s="69"/>
      <c r="G32" s="70"/>
      <c r="H32" s="70"/>
      <c r="I32" s="84">
        <f t="shared" si="0"/>
      </c>
      <c r="K32" s="238" t="str">
        <f t="shared" si="1"/>
        <v>---</v>
      </c>
      <c r="L32" s="75"/>
      <c r="M32" s="75"/>
      <c r="N32" s="75"/>
      <c r="O32" s="75"/>
      <c r="P32" s="75"/>
      <c r="Q32" s="75"/>
      <c r="R32" s="75"/>
      <c r="S32" s="75"/>
      <c r="T32" s="75"/>
    </row>
    <row r="33" spans="2:20" ht="15" customHeight="1">
      <c r="B33" s="1"/>
      <c r="C33" s="68"/>
      <c r="D33" s="68"/>
      <c r="E33" s="69"/>
      <c r="F33" s="69"/>
      <c r="G33" s="70"/>
      <c r="H33" s="70"/>
      <c r="I33" s="84">
        <f t="shared" si="0"/>
      </c>
      <c r="K33" s="238" t="str">
        <f t="shared" si="1"/>
        <v>---</v>
      </c>
      <c r="L33" s="75"/>
      <c r="M33" s="75"/>
      <c r="N33" s="75"/>
      <c r="O33" s="75"/>
      <c r="P33" s="75"/>
      <c r="Q33" s="75"/>
      <c r="R33" s="75"/>
      <c r="S33" s="75"/>
      <c r="T33" s="75"/>
    </row>
    <row r="34" spans="2:20" ht="15" customHeight="1">
      <c r="B34" s="1"/>
      <c r="C34" s="68"/>
      <c r="D34" s="68"/>
      <c r="E34" s="69"/>
      <c r="F34" s="69"/>
      <c r="G34" s="70"/>
      <c r="H34" s="70"/>
      <c r="I34" s="84">
        <f t="shared" si="0"/>
      </c>
      <c r="K34" s="238" t="str">
        <f t="shared" si="1"/>
        <v>---</v>
      </c>
      <c r="L34" s="75"/>
      <c r="M34" s="75"/>
      <c r="N34" s="75"/>
      <c r="O34" s="75"/>
      <c r="P34" s="75"/>
      <c r="Q34" s="75"/>
      <c r="R34" s="75"/>
      <c r="S34" s="75"/>
      <c r="T34" s="75"/>
    </row>
    <row r="35" spans="2:20" ht="15" customHeight="1">
      <c r="B35" s="1"/>
      <c r="C35" s="68"/>
      <c r="D35" s="68"/>
      <c r="E35" s="69"/>
      <c r="F35" s="69"/>
      <c r="G35" s="70"/>
      <c r="H35" s="70"/>
      <c r="I35" s="84">
        <f t="shared" si="0"/>
      </c>
      <c r="K35" s="238" t="str">
        <f t="shared" si="1"/>
        <v>---</v>
      </c>
      <c r="L35" s="75"/>
      <c r="M35" s="75"/>
      <c r="N35" s="75"/>
      <c r="O35" s="75"/>
      <c r="P35" s="75"/>
      <c r="Q35" s="75"/>
      <c r="R35" s="75"/>
      <c r="S35" s="75"/>
      <c r="T35" s="75"/>
    </row>
    <row r="36" spans="2:20" ht="15" customHeight="1">
      <c r="B36" s="1"/>
      <c r="C36" s="68"/>
      <c r="D36" s="68"/>
      <c r="E36" s="69"/>
      <c r="F36" s="69"/>
      <c r="G36" s="70"/>
      <c r="H36" s="70"/>
      <c r="I36" s="84">
        <f t="shared" si="0"/>
      </c>
      <c r="K36" s="238" t="str">
        <f t="shared" si="1"/>
        <v>---</v>
      </c>
      <c r="L36" s="75"/>
      <c r="M36" s="75"/>
      <c r="N36" s="75"/>
      <c r="O36" s="75"/>
      <c r="P36" s="75"/>
      <c r="Q36" s="75"/>
      <c r="R36" s="75"/>
      <c r="S36" s="75"/>
      <c r="T36" s="75"/>
    </row>
    <row r="37" spans="2:20" ht="15" customHeight="1">
      <c r="B37" s="1"/>
      <c r="C37" s="68"/>
      <c r="D37" s="68"/>
      <c r="E37" s="69"/>
      <c r="F37" s="69"/>
      <c r="G37" s="70"/>
      <c r="H37" s="70"/>
      <c r="I37" s="84">
        <f t="shared" si="0"/>
      </c>
      <c r="K37" s="238" t="str">
        <f t="shared" si="1"/>
        <v>---</v>
      </c>
      <c r="L37" s="75"/>
      <c r="M37" s="75"/>
      <c r="N37" s="75"/>
      <c r="O37" s="75"/>
      <c r="P37" s="75"/>
      <c r="Q37" s="75"/>
      <c r="R37" s="75"/>
      <c r="S37" s="75"/>
      <c r="T37" s="75"/>
    </row>
    <row r="38" spans="2:20" ht="15" customHeight="1">
      <c r="B38" s="1"/>
      <c r="C38" s="68"/>
      <c r="D38" s="68"/>
      <c r="E38" s="69"/>
      <c r="F38" s="69"/>
      <c r="G38" s="70"/>
      <c r="H38" s="70"/>
      <c r="I38" s="84">
        <f t="shared" si="0"/>
      </c>
      <c r="K38" s="238" t="str">
        <f t="shared" si="1"/>
        <v>---</v>
      </c>
      <c r="L38" s="75"/>
      <c r="M38" s="75"/>
      <c r="N38" s="75"/>
      <c r="O38" s="75"/>
      <c r="P38" s="75"/>
      <c r="Q38" s="75"/>
      <c r="R38" s="75"/>
      <c r="S38" s="75"/>
      <c r="T38" s="75"/>
    </row>
    <row r="39" spans="2:20" ht="15" customHeight="1">
      <c r="B39" s="1"/>
      <c r="C39" s="68"/>
      <c r="D39" s="68"/>
      <c r="E39" s="69"/>
      <c r="F39" s="69"/>
      <c r="G39" s="70"/>
      <c r="H39" s="70"/>
      <c r="I39" s="84">
        <f t="shared" si="0"/>
      </c>
      <c r="K39" s="238" t="str">
        <f t="shared" si="1"/>
        <v>---</v>
      </c>
      <c r="L39" s="75"/>
      <c r="M39" s="75"/>
      <c r="N39" s="75"/>
      <c r="O39" s="75"/>
      <c r="P39" s="75"/>
      <c r="Q39" s="75"/>
      <c r="R39" s="75"/>
      <c r="S39" s="75"/>
      <c r="T39" s="75"/>
    </row>
    <row r="40" spans="2:20" ht="15" customHeight="1">
      <c r="B40" s="1"/>
      <c r="C40" s="68"/>
      <c r="D40" s="68"/>
      <c r="E40" s="69"/>
      <c r="F40" s="69"/>
      <c r="G40" s="70"/>
      <c r="H40" s="70"/>
      <c r="I40" s="84">
        <f t="shared" si="0"/>
      </c>
      <c r="K40" s="238" t="str">
        <f t="shared" si="1"/>
        <v>---</v>
      </c>
      <c r="L40" s="75"/>
      <c r="M40" s="75"/>
      <c r="N40" s="75"/>
      <c r="O40" s="75"/>
      <c r="P40" s="75"/>
      <c r="Q40" s="75"/>
      <c r="R40" s="75"/>
      <c r="S40" s="75"/>
      <c r="T40" s="75"/>
    </row>
    <row r="41" spans="2:20" ht="15" customHeight="1">
      <c r="B41" s="1"/>
      <c r="C41" s="68"/>
      <c r="D41" s="68"/>
      <c r="E41" s="69"/>
      <c r="F41" s="69"/>
      <c r="G41" s="70"/>
      <c r="H41" s="70"/>
      <c r="I41" s="84">
        <f t="shared" si="0"/>
      </c>
      <c r="K41" s="238" t="str">
        <f t="shared" si="1"/>
        <v>---</v>
      </c>
      <c r="L41" s="75"/>
      <c r="M41" s="75"/>
      <c r="N41" s="75"/>
      <c r="O41" s="75"/>
      <c r="P41" s="75"/>
      <c r="Q41" s="75"/>
      <c r="R41" s="75"/>
      <c r="S41" s="75"/>
      <c r="T41" s="75"/>
    </row>
    <row r="42" spans="2:20" ht="15" customHeight="1">
      <c r="B42" s="1"/>
      <c r="C42" s="68"/>
      <c r="D42" s="68"/>
      <c r="E42" s="69"/>
      <c r="F42" s="69"/>
      <c r="G42" s="70"/>
      <c r="H42" s="70"/>
      <c r="I42" s="84">
        <f t="shared" si="0"/>
      </c>
      <c r="K42" s="238" t="str">
        <f t="shared" si="1"/>
        <v>---</v>
      </c>
      <c r="L42" s="75"/>
      <c r="M42" s="75"/>
      <c r="N42" s="75"/>
      <c r="O42" s="75"/>
      <c r="P42" s="75"/>
      <c r="Q42" s="75"/>
      <c r="R42" s="75"/>
      <c r="S42" s="75"/>
      <c r="T42" s="75"/>
    </row>
    <row r="43" spans="2:20" ht="15" customHeight="1">
      <c r="B43" s="1"/>
      <c r="C43" s="68"/>
      <c r="D43" s="68"/>
      <c r="E43" s="69"/>
      <c r="F43" s="69"/>
      <c r="G43" s="70"/>
      <c r="H43" s="70"/>
      <c r="I43" s="84">
        <f t="shared" si="0"/>
      </c>
      <c r="K43" s="238" t="str">
        <f t="shared" si="1"/>
        <v>---</v>
      </c>
      <c r="L43" s="75"/>
      <c r="M43" s="75"/>
      <c r="N43" s="75"/>
      <c r="O43" s="75"/>
      <c r="P43" s="75"/>
      <c r="Q43" s="75"/>
      <c r="R43" s="75"/>
      <c r="S43" s="75"/>
      <c r="T43" s="75"/>
    </row>
    <row r="44" spans="2:20" ht="15" customHeight="1">
      <c r="B44" s="1"/>
      <c r="C44" s="68"/>
      <c r="D44" s="68"/>
      <c r="E44" s="69"/>
      <c r="F44" s="69"/>
      <c r="G44" s="70"/>
      <c r="H44" s="70"/>
      <c r="I44" s="84">
        <f t="shared" si="0"/>
      </c>
      <c r="K44" s="238" t="str">
        <f t="shared" si="1"/>
        <v>---</v>
      </c>
      <c r="L44" s="75"/>
      <c r="M44" s="75"/>
      <c r="N44" s="75"/>
      <c r="O44" s="75"/>
      <c r="P44" s="75"/>
      <c r="Q44" s="75"/>
      <c r="R44" s="75"/>
      <c r="S44" s="75"/>
      <c r="T44" s="75"/>
    </row>
    <row r="45" spans="2:20" ht="15" customHeight="1">
      <c r="B45" s="1"/>
      <c r="C45" s="68"/>
      <c r="D45" s="68"/>
      <c r="E45" s="69"/>
      <c r="F45" s="69"/>
      <c r="G45" s="70"/>
      <c r="H45" s="70"/>
      <c r="I45" s="84">
        <f t="shared" si="0"/>
      </c>
      <c r="K45" s="238" t="str">
        <f t="shared" si="1"/>
        <v>---</v>
      </c>
      <c r="L45" s="75"/>
      <c r="M45" s="75"/>
      <c r="N45" s="75"/>
      <c r="O45" s="75"/>
      <c r="P45" s="75"/>
      <c r="Q45" s="75"/>
      <c r="R45" s="75"/>
      <c r="S45" s="75"/>
      <c r="T45" s="75"/>
    </row>
    <row r="46" spans="2:20" ht="15" customHeight="1">
      <c r="B46" s="1"/>
      <c r="C46" s="68"/>
      <c r="D46" s="68"/>
      <c r="E46" s="69"/>
      <c r="F46" s="69"/>
      <c r="G46" s="70"/>
      <c r="H46" s="70"/>
      <c r="I46" s="84">
        <f t="shared" si="0"/>
      </c>
      <c r="K46" s="238" t="str">
        <f t="shared" si="1"/>
        <v>---</v>
      </c>
      <c r="L46" s="75"/>
      <c r="M46" s="75"/>
      <c r="N46" s="75"/>
      <c r="O46" s="75"/>
      <c r="P46" s="75"/>
      <c r="Q46" s="75"/>
      <c r="R46" s="75"/>
      <c r="S46" s="75"/>
      <c r="T46" s="75"/>
    </row>
    <row r="47" spans="2:20" ht="15" customHeight="1">
      <c r="B47" s="1"/>
      <c r="C47" s="68"/>
      <c r="D47" s="68"/>
      <c r="E47" s="69"/>
      <c r="F47" s="69"/>
      <c r="G47" s="70"/>
      <c r="H47" s="70"/>
      <c r="I47" s="84">
        <f t="shared" si="0"/>
      </c>
      <c r="K47" s="238" t="str">
        <f t="shared" si="1"/>
        <v>---</v>
      </c>
      <c r="L47" s="75"/>
      <c r="M47" s="75"/>
      <c r="N47" s="75"/>
      <c r="O47" s="75"/>
      <c r="P47" s="75"/>
      <c r="Q47" s="75"/>
      <c r="R47" s="75"/>
      <c r="S47" s="75"/>
      <c r="T47" s="75"/>
    </row>
    <row r="48" spans="2:20" ht="15" customHeight="1">
      <c r="B48" s="1"/>
      <c r="C48" s="68"/>
      <c r="D48" s="68"/>
      <c r="E48" s="69"/>
      <c r="F48" s="69"/>
      <c r="G48" s="70"/>
      <c r="H48" s="70"/>
      <c r="I48" s="84">
        <f t="shared" si="0"/>
      </c>
      <c r="K48" s="238" t="str">
        <f t="shared" si="1"/>
        <v>---</v>
      </c>
      <c r="L48" s="75"/>
      <c r="M48" s="75"/>
      <c r="N48" s="75"/>
      <c r="O48" s="75"/>
      <c r="P48" s="75"/>
      <c r="Q48" s="75"/>
      <c r="R48" s="75"/>
      <c r="S48" s="75"/>
      <c r="T48" s="75"/>
    </row>
    <row r="49" spans="2:20" ht="15" customHeight="1">
      <c r="B49" s="1"/>
      <c r="C49" s="68"/>
      <c r="D49" s="68"/>
      <c r="E49" s="69"/>
      <c r="F49" s="69"/>
      <c r="G49" s="70"/>
      <c r="H49" s="70"/>
      <c r="I49" s="84">
        <f t="shared" si="0"/>
      </c>
      <c r="K49" s="238" t="str">
        <f t="shared" si="1"/>
        <v>---</v>
      </c>
      <c r="L49" s="75"/>
      <c r="M49" s="75"/>
      <c r="N49" s="75"/>
      <c r="O49" s="75"/>
      <c r="P49" s="75"/>
      <c r="Q49" s="75"/>
      <c r="R49" s="75"/>
      <c r="S49" s="75"/>
      <c r="T49" s="75"/>
    </row>
    <row r="50" spans="2:20" ht="15" customHeight="1">
      <c r="B50" s="1"/>
      <c r="C50" s="68"/>
      <c r="D50" s="68"/>
      <c r="E50" s="69"/>
      <c r="F50" s="69"/>
      <c r="G50" s="70"/>
      <c r="H50" s="70"/>
      <c r="I50" s="84">
        <f t="shared" si="0"/>
      </c>
      <c r="K50" s="238" t="str">
        <f t="shared" si="1"/>
        <v>---</v>
      </c>
      <c r="L50" s="75"/>
      <c r="M50" s="75"/>
      <c r="N50" s="75"/>
      <c r="O50" s="75"/>
      <c r="P50" s="75"/>
      <c r="Q50" s="75"/>
      <c r="R50" s="75"/>
      <c r="S50" s="75"/>
      <c r="T50" s="75"/>
    </row>
    <row r="51" spans="2:20" ht="15" customHeight="1">
      <c r="B51" s="1"/>
      <c r="C51" s="68"/>
      <c r="D51" s="68"/>
      <c r="E51" s="69"/>
      <c r="F51" s="69"/>
      <c r="G51" s="70"/>
      <c r="H51" s="70"/>
      <c r="I51" s="84">
        <f t="shared" si="0"/>
      </c>
      <c r="K51" s="238" t="str">
        <f t="shared" si="1"/>
        <v>---</v>
      </c>
      <c r="L51" s="75"/>
      <c r="M51" s="75"/>
      <c r="N51" s="75"/>
      <c r="O51" s="75"/>
      <c r="P51" s="75"/>
      <c r="Q51" s="75"/>
      <c r="R51" s="75"/>
      <c r="S51" s="75"/>
      <c r="T51" s="75"/>
    </row>
    <row r="52" spans="2:20" ht="15" customHeight="1">
      <c r="B52" s="1"/>
      <c r="C52" s="68"/>
      <c r="D52" s="68"/>
      <c r="E52" s="69"/>
      <c r="F52" s="69"/>
      <c r="G52" s="70"/>
      <c r="H52" s="70"/>
      <c r="I52" s="84">
        <f t="shared" si="0"/>
      </c>
      <c r="K52" s="238" t="str">
        <f t="shared" si="1"/>
        <v>---</v>
      </c>
      <c r="L52" s="75"/>
      <c r="M52" s="75"/>
      <c r="N52" s="75"/>
      <c r="O52" s="75"/>
      <c r="P52" s="75"/>
      <c r="Q52" s="75"/>
      <c r="R52" s="75"/>
      <c r="S52" s="75"/>
      <c r="T52" s="75"/>
    </row>
    <row r="53" spans="2:20" ht="15" customHeight="1">
      <c r="B53" s="1"/>
      <c r="C53" s="68"/>
      <c r="D53" s="68"/>
      <c r="E53" s="69"/>
      <c r="F53" s="69"/>
      <c r="G53" s="70"/>
      <c r="H53" s="70"/>
      <c r="I53" s="84">
        <f t="shared" si="0"/>
      </c>
      <c r="K53" s="238" t="str">
        <f t="shared" si="1"/>
        <v>---</v>
      </c>
      <c r="L53" s="75"/>
      <c r="M53" s="75"/>
      <c r="N53" s="75"/>
      <c r="O53" s="75"/>
      <c r="P53" s="75"/>
      <c r="Q53" s="75"/>
      <c r="R53" s="75"/>
      <c r="S53" s="75"/>
      <c r="T53" s="75"/>
    </row>
    <row r="54" spans="2:20" ht="15" customHeight="1">
      <c r="B54" s="1"/>
      <c r="C54" s="68"/>
      <c r="D54" s="68"/>
      <c r="E54" s="69"/>
      <c r="F54" s="69"/>
      <c r="G54" s="70"/>
      <c r="H54" s="70"/>
      <c r="I54" s="84">
        <f t="shared" si="0"/>
      </c>
      <c r="K54" s="238" t="str">
        <f t="shared" si="1"/>
        <v>---</v>
      </c>
      <c r="L54" s="75"/>
      <c r="M54" s="75"/>
      <c r="N54" s="75"/>
      <c r="O54" s="75"/>
      <c r="P54" s="75"/>
      <c r="Q54" s="75"/>
      <c r="R54" s="75"/>
      <c r="S54" s="75"/>
      <c r="T54" s="75"/>
    </row>
    <row r="55" spans="2:20" ht="15" customHeight="1">
      <c r="B55" s="1"/>
      <c r="C55" s="68"/>
      <c r="D55" s="68"/>
      <c r="E55" s="69"/>
      <c r="F55" s="69"/>
      <c r="G55" s="70"/>
      <c r="H55" s="70"/>
      <c r="I55" s="84">
        <f t="shared" si="0"/>
      </c>
      <c r="K55" s="238" t="str">
        <f t="shared" si="1"/>
        <v>---</v>
      </c>
      <c r="L55" s="75"/>
      <c r="M55" s="75"/>
      <c r="N55" s="75"/>
      <c r="O55" s="75"/>
      <c r="P55" s="75"/>
      <c r="Q55" s="75"/>
      <c r="R55" s="75"/>
      <c r="S55" s="75"/>
      <c r="T55" s="75"/>
    </row>
    <row r="56" spans="2:20" ht="15" customHeight="1">
      <c r="B56" s="1"/>
      <c r="C56" s="68"/>
      <c r="D56" s="68"/>
      <c r="E56" s="69"/>
      <c r="F56" s="69"/>
      <c r="G56" s="70"/>
      <c r="H56" s="70"/>
      <c r="I56" s="84">
        <f t="shared" si="0"/>
      </c>
      <c r="K56" s="238" t="str">
        <f t="shared" si="1"/>
        <v>---</v>
      </c>
      <c r="L56" s="75"/>
      <c r="M56" s="75"/>
      <c r="N56" s="75"/>
      <c r="O56" s="75"/>
      <c r="P56" s="75"/>
      <c r="Q56" s="75"/>
      <c r="R56" s="75"/>
      <c r="S56" s="75"/>
      <c r="T56" s="75"/>
    </row>
    <row r="57" spans="2:20" ht="15" customHeight="1">
      <c r="B57" s="1"/>
      <c r="C57" s="68"/>
      <c r="D57" s="68"/>
      <c r="E57" s="69"/>
      <c r="F57" s="69"/>
      <c r="G57" s="70"/>
      <c r="H57" s="70"/>
      <c r="I57" s="84">
        <f t="shared" si="0"/>
      </c>
      <c r="K57" s="238" t="str">
        <f t="shared" si="1"/>
        <v>---</v>
      </c>
      <c r="L57" s="75"/>
      <c r="M57" s="75"/>
      <c r="N57" s="75"/>
      <c r="O57" s="75"/>
      <c r="P57" s="75"/>
      <c r="Q57" s="75"/>
      <c r="R57" s="75"/>
      <c r="S57" s="75"/>
      <c r="T57" s="75"/>
    </row>
    <row r="58" spans="2:20" ht="15" customHeight="1">
      <c r="B58" s="1"/>
      <c r="C58" s="68"/>
      <c r="D58" s="68"/>
      <c r="E58" s="69"/>
      <c r="F58" s="69"/>
      <c r="G58" s="70"/>
      <c r="H58" s="70"/>
      <c r="I58" s="84">
        <f t="shared" si="0"/>
      </c>
      <c r="K58" s="238" t="str">
        <f t="shared" si="1"/>
        <v>---</v>
      </c>
      <c r="L58" s="75"/>
      <c r="M58" s="75"/>
      <c r="N58" s="75"/>
      <c r="O58" s="75"/>
      <c r="P58" s="75"/>
      <c r="Q58" s="75"/>
      <c r="R58" s="75"/>
      <c r="S58" s="75"/>
      <c r="T58" s="75"/>
    </row>
    <row r="59" spans="2:20" ht="15" customHeight="1">
      <c r="B59" s="1"/>
      <c r="C59" s="68"/>
      <c r="D59" s="68"/>
      <c r="E59" s="69"/>
      <c r="F59" s="69"/>
      <c r="G59" s="70"/>
      <c r="H59" s="70"/>
      <c r="I59" s="84">
        <f t="shared" si="0"/>
      </c>
      <c r="K59" s="238" t="str">
        <f t="shared" si="1"/>
        <v>---</v>
      </c>
      <c r="L59" s="75"/>
      <c r="M59" s="75"/>
      <c r="N59" s="75"/>
      <c r="O59" s="75"/>
      <c r="P59" s="75"/>
      <c r="Q59" s="75"/>
      <c r="R59" s="75"/>
      <c r="S59" s="75"/>
      <c r="T59" s="75"/>
    </row>
    <row r="60" spans="2:20" ht="15" customHeight="1">
      <c r="B60" s="1"/>
      <c r="C60" s="68"/>
      <c r="D60" s="68"/>
      <c r="E60" s="69"/>
      <c r="F60" s="69"/>
      <c r="G60" s="70"/>
      <c r="H60" s="70"/>
      <c r="I60" s="84">
        <f t="shared" si="0"/>
      </c>
      <c r="K60" s="238" t="str">
        <f t="shared" si="1"/>
        <v>---</v>
      </c>
      <c r="L60" s="75"/>
      <c r="M60" s="75"/>
      <c r="N60" s="75"/>
      <c r="O60" s="75"/>
      <c r="P60" s="75"/>
      <c r="Q60" s="75"/>
      <c r="R60" s="75"/>
      <c r="S60" s="75"/>
      <c r="T60" s="75"/>
    </row>
    <row r="61" spans="2:20" ht="15" customHeight="1">
      <c r="B61" s="1"/>
      <c r="C61" s="68"/>
      <c r="D61" s="68"/>
      <c r="E61" s="69"/>
      <c r="F61" s="69"/>
      <c r="G61" s="70"/>
      <c r="H61" s="70"/>
      <c r="I61" s="84">
        <f t="shared" si="0"/>
      </c>
      <c r="K61" s="238" t="str">
        <f t="shared" si="1"/>
        <v>---</v>
      </c>
      <c r="L61" s="75"/>
      <c r="M61" s="75"/>
      <c r="N61" s="75"/>
      <c r="O61" s="75"/>
      <c r="P61" s="75"/>
      <c r="Q61" s="75"/>
      <c r="R61" s="75"/>
      <c r="S61" s="75"/>
      <c r="T61" s="75"/>
    </row>
    <row r="62" spans="2:20" ht="15" customHeight="1">
      <c r="B62" s="1"/>
      <c r="C62" s="68"/>
      <c r="D62" s="68"/>
      <c r="E62" s="69"/>
      <c r="F62" s="69"/>
      <c r="G62" s="70"/>
      <c r="H62" s="70"/>
      <c r="I62" s="84">
        <f t="shared" si="0"/>
      </c>
      <c r="K62" s="238" t="str">
        <f t="shared" si="1"/>
        <v>---</v>
      </c>
      <c r="L62" s="75"/>
      <c r="M62" s="75"/>
      <c r="N62" s="75"/>
      <c r="O62" s="75"/>
      <c r="P62" s="75"/>
      <c r="Q62" s="75"/>
      <c r="R62" s="75"/>
      <c r="S62" s="75"/>
      <c r="T62" s="75"/>
    </row>
    <row r="63" spans="2:20" ht="15" customHeight="1">
      <c r="B63" s="1"/>
      <c r="C63" s="68"/>
      <c r="D63" s="68"/>
      <c r="E63" s="69"/>
      <c r="F63" s="69"/>
      <c r="G63" s="70"/>
      <c r="H63" s="70"/>
      <c r="I63" s="84">
        <f t="shared" si="0"/>
      </c>
      <c r="K63" s="238" t="str">
        <f t="shared" si="1"/>
        <v>---</v>
      </c>
      <c r="L63" s="75"/>
      <c r="M63" s="75"/>
      <c r="N63" s="75"/>
      <c r="O63" s="75"/>
      <c r="P63" s="75"/>
      <c r="Q63" s="75"/>
      <c r="R63" s="75"/>
      <c r="S63" s="75"/>
      <c r="T63" s="75"/>
    </row>
    <row r="64" spans="2:20" ht="15" customHeight="1">
      <c r="B64" s="1"/>
      <c r="C64" s="68"/>
      <c r="D64" s="68"/>
      <c r="E64" s="69"/>
      <c r="F64" s="69"/>
      <c r="G64" s="70"/>
      <c r="H64" s="70"/>
      <c r="I64" s="84">
        <f t="shared" si="0"/>
      </c>
      <c r="K64" s="238" t="str">
        <f t="shared" si="1"/>
        <v>---</v>
      </c>
      <c r="L64" s="75"/>
      <c r="M64" s="75"/>
      <c r="N64" s="75"/>
      <c r="O64" s="75"/>
      <c r="P64" s="75"/>
      <c r="Q64" s="75"/>
      <c r="R64" s="75"/>
      <c r="S64" s="75"/>
      <c r="T64" s="75"/>
    </row>
    <row r="65" spans="2:20" ht="15" customHeight="1">
      <c r="B65" s="2"/>
      <c r="C65" s="72"/>
      <c r="D65" s="72"/>
      <c r="E65" s="73"/>
      <c r="F65" s="73"/>
      <c r="G65" s="74"/>
      <c r="H65" s="74"/>
      <c r="I65" s="84">
        <f t="shared" si="0"/>
      </c>
      <c r="K65" s="239" t="str">
        <f t="shared" si="1"/>
        <v>---</v>
      </c>
      <c r="L65" s="76"/>
      <c r="M65" s="76"/>
      <c r="N65" s="76"/>
      <c r="O65" s="76"/>
      <c r="P65" s="76"/>
      <c r="Q65" s="76"/>
      <c r="R65" s="76"/>
      <c r="S65" s="76"/>
      <c r="T65" s="76"/>
    </row>
  </sheetData>
  <sheetProtection sheet="1" objects="1" scenarios="1"/>
  <printOptions/>
  <pageMargins left="0.75" right="0.75" top="1" bottom="1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F65"/>
  <sheetViews>
    <sheetView showGridLines="0" zoomScale="95" zoomScaleNormal="95" workbookViewId="0" topLeftCell="A1">
      <selection activeCell="D14" sqref="D14"/>
    </sheetView>
  </sheetViews>
  <sheetFormatPr defaultColWidth="9.140625" defaultRowHeight="12.75"/>
  <cols>
    <col min="1" max="1" width="2.57421875" style="22" customWidth="1"/>
    <col min="2" max="2" width="4.28125" style="22" customWidth="1"/>
    <col min="3" max="3" width="9.140625" style="22" customWidth="1"/>
    <col min="4" max="4" width="9.8515625" style="22" customWidth="1"/>
    <col min="5" max="6" width="9.140625" style="22" customWidth="1"/>
    <col min="7" max="7" width="9.7109375" style="22" customWidth="1"/>
    <col min="8" max="8" width="9.140625" style="22" customWidth="1"/>
    <col min="9" max="9" width="9.57421875" style="22" customWidth="1"/>
    <col min="10" max="15" width="9.140625" style="22" customWidth="1"/>
    <col min="16" max="16" width="7.00390625" style="22" customWidth="1"/>
    <col min="17" max="17" width="2.57421875" style="22" customWidth="1"/>
    <col min="18" max="18" width="9.140625" style="22" customWidth="1"/>
    <col min="19" max="19" width="10.8515625" style="22" customWidth="1"/>
    <col min="20" max="31" width="9.140625" style="22" customWidth="1"/>
    <col min="32" max="32" width="12.140625" style="22" customWidth="1"/>
    <col min="33" max="16384" width="9.140625" style="22" customWidth="1"/>
  </cols>
  <sheetData>
    <row r="1" spans="1:18" ht="21.75" customHeight="1">
      <c r="A1" s="27"/>
      <c r="B1" s="21" t="s">
        <v>11</v>
      </c>
      <c r="C1" s="21"/>
      <c r="D1" s="20"/>
      <c r="E1" s="20"/>
      <c r="F1" s="20"/>
      <c r="G1" s="20"/>
      <c r="H1" s="79" t="s">
        <v>116</v>
      </c>
      <c r="J1" s="20"/>
      <c r="K1" s="20"/>
      <c r="L1" s="20"/>
      <c r="N1" s="27"/>
      <c r="O1" s="27"/>
      <c r="P1" s="27"/>
      <c r="Q1" s="27"/>
      <c r="R1" s="27"/>
    </row>
    <row r="2" spans="1:18" ht="18" customHeight="1">
      <c r="A2" s="27"/>
      <c r="B2" s="23" t="s">
        <v>63</v>
      </c>
      <c r="C2" s="23"/>
      <c r="D2" s="24"/>
      <c r="E2" s="20"/>
      <c r="F2" s="20"/>
      <c r="G2" s="20"/>
      <c r="H2" s="20"/>
      <c r="I2" s="20"/>
      <c r="K2" s="20"/>
      <c r="N2" s="27"/>
      <c r="O2" s="27"/>
      <c r="P2" s="27"/>
      <c r="Q2" s="27"/>
      <c r="R2" s="27"/>
    </row>
    <row r="3" spans="1:18" ht="15" customHeight="1">
      <c r="A3" s="27"/>
      <c r="B3" s="186" t="s">
        <v>67</v>
      </c>
      <c r="C3" s="25" t="s">
        <v>117</v>
      </c>
      <c r="D3" s="34"/>
      <c r="E3" s="34"/>
      <c r="F3" s="34"/>
      <c r="G3" s="34"/>
      <c r="H3" s="34"/>
      <c r="I3" s="35"/>
      <c r="M3" s="27"/>
      <c r="O3" s="27"/>
      <c r="P3" s="27"/>
      <c r="Q3" s="27"/>
      <c r="R3" s="27"/>
    </row>
    <row r="4" spans="1:18" ht="15" customHeight="1">
      <c r="A4" s="27"/>
      <c r="B4" s="187" t="s">
        <v>68</v>
      </c>
      <c r="C4" s="27" t="s">
        <v>118</v>
      </c>
      <c r="D4" s="34"/>
      <c r="E4" s="34"/>
      <c r="F4" s="34"/>
      <c r="G4" s="34"/>
      <c r="H4" s="34"/>
      <c r="J4" s="34"/>
      <c r="M4" s="27"/>
      <c r="O4" s="27"/>
      <c r="P4" s="27"/>
      <c r="Q4" s="27"/>
      <c r="R4" s="27"/>
    </row>
    <row r="5" spans="1:18" ht="15" customHeight="1">
      <c r="A5" s="27"/>
      <c r="B5" s="188" t="s">
        <v>69</v>
      </c>
      <c r="C5" s="20" t="s">
        <v>119</v>
      </c>
      <c r="D5" s="34"/>
      <c r="E5" s="34"/>
      <c r="F5" s="34"/>
      <c r="G5" s="34"/>
      <c r="H5" s="34"/>
      <c r="J5" s="34"/>
      <c r="M5" s="27"/>
      <c r="O5" s="27"/>
      <c r="P5" s="27"/>
      <c r="Q5" s="27"/>
      <c r="R5" s="27"/>
    </row>
    <row r="6" spans="1:18" ht="15" customHeight="1">
      <c r="A6" s="27"/>
      <c r="C6" s="34" t="s">
        <v>120</v>
      </c>
      <c r="E6" s="34"/>
      <c r="F6" s="34"/>
      <c r="G6" s="34"/>
      <c r="H6" s="34"/>
      <c r="I6" s="34"/>
      <c r="K6" s="34"/>
      <c r="M6" s="27"/>
      <c r="O6" s="27"/>
      <c r="P6" s="27"/>
      <c r="Q6" s="27"/>
      <c r="R6" s="27"/>
    </row>
    <row r="7" spans="2:12" ht="15" customHeight="1">
      <c r="B7" s="20"/>
      <c r="C7" s="20"/>
      <c r="D7" s="37"/>
      <c r="F7" s="20"/>
      <c r="G7" s="34"/>
      <c r="H7" s="34"/>
      <c r="I7" s="34"/>
      <c r="J7" s="34"/>
      <c r="L7" s="34"/>
    </row>
    <row r="8" spans="5:9" ht="15" customHeight="1">
      <c r="E8" s="36"/>
      <c r="F8" s="20"/>
      <c r="G8" s="34"/>
      <c r="H8" s="34"/>
      <c r="I8" s="34"/>
    </row>
    <row r="9" spans="5:9" ht="15" customHeight="1">
      <c r="E9" s="34"/>
      <c r="F9" s="34"/>
      <c r="G9" s="34"/>
      <c r="H9" s="34"/>
      <c r="I9" s="34"/>
    </row>
    <row r="10" ht="15" customHeight="1"/>
    <row r="11" spans="1:32" ht="15" customHeight="1">
      <c r="A11" s="32"/>
      <c r="B11" s="32"/>
      <c r="C11" s="32"/>
      <c r="D11" s="32"/>
      <c r="E11" s="32"/>
      <c r="F11" s="38"/>
      <c r="G11" s="32"/>
      <c r="H11" s="32"/>
      <c r="I11" s="32"/>
      <c r="J11" s="32"/>
      <c r="K11" s="32"/>
      <c r="L11" s="32"/>
      <c r="M11" s="38"/>
      <c r="N11" s="32"/>
      <c r="O11" s="32"/>
      <c r="P11" s="32"/>
      <c r="Q11" s="32"/>
      <c r="R11" s="32"/>
      <c r="S11" s="32"/>
      <c r="T11" s="32"/>
      <c r="U11" s="32"/>
      <c r="V11" s="38"/>
      <c r="W11" s="32"/>
      <c r="X11" s="32"/>
      <c r="Y11" s="32"/>
      <c r="Z11" s="32"/>
      <c r="AA11" s="32"/>
      <c r="AB11" s="32"/>
      <c r="AC11" s="32"/>
      <c r="AD11" s="32"/>
      <c r="AE11" s="32"/>
      <c r="AF11" s="32"/>
    </row>
    <row r="12" spans="3:32" ht="24" customHeight="1" thickBot="1">
      <c r="C12" s="80" t="s">
        <v>136</v>
      </c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Q12" s="80" t="s">
        <v>105</v>
      </c>
      <c r="R12" s="80"/>
      <c r="S12" s="85"/>
      <c r="T12" s="85"/>
      <c r="U12" s="85"/>
      <c r="V12" s="85"/>
      <c r="W12" s="61"/>
      <c r="X12" s="61"/>
      <c r="Y12" s="61"/>
      <c r="Z12" s="61"/>
      <c r="AA12" s="61"/>
      <c r="AB12" s="61"/>
      <c r="AC12" s="61"/>
      <c r="AE12" s="80" t="s">
        <v>106</v>
      </c>
      <c r="AF12" s="61"/>
    </row>
    <row r="13" spans="3:29" ht="13.5" thickTop="1">
      <c r="C13" s="243"/>
      <c r="D13" s="242" t="s">
        <v>56</v>
      </c>
      <c r="E13" s="27"/>
      <c r="F13" s="27"/>
      <c r="G13" s="39" t="s">
        <v>57</v>
      </c>
      <c r="H13" s="27"/>
      <c r="I13" s="27"/>
      <c r="J13" s="39" t="s">
        <v>58</v>
      </c>
      <c r="K13" s="27"/>
      <c r="L13" s="27"/>
      <c r="M13" s="39" t="s">
        <v>59</v>
      </c>
      <c r="N13" s="27"/>
      <c r="O13" s="40"/>
      <c r="Q13" s="86"/>
      <c r="R13" s="189"/>
      <c r="S13" s="190" t="s">
        <v>121</v>
      </c>
      <c r="T13" s="27"/>
      <c r="U13" s="27"/>
      <c r="V13" s="27"/>
      <c r="W13" s="87" t="s">
        <v>62</v>
      </c>
      <c r="X13" s="27"/>
      <c r="Y13" s="27"/>
      <c r="Z13" s="27"/>
      <c r="AA13" s="27"/>
      <c r="AB13" s="27"/>
      <c r="AC13" s="40"/>
    </row>
    <row r="14" spans="3:32" ht="12.75">
      <c r="C14" s="244"/>
      <c r="D14" s="248" t="s">
        <v>16</v>
      </c>
      <c r="E14" s="41" t="s">
        <v>55</v>
      </c>
      <c r="F14" s="248" t="s">
        <v>19</v>
      </c>
      <c r="G14" s="249" t="s">
        <v>66</v>
      </c>
      <c r="H14" s="41" t="s">
        <v>55</v>
      </c>
      <c r="I14" s="248" t="s">
        <v>18</v>
      </c>
      <c r="J14" s="249" t="s">
        <v>17</v>
      </c>
      <c r="K14" s="41" t="s">
        <v>55</v>
      </c>
      <c r="L14" s="248" t="s">
        <v>19</v>
      </c>
      <c r="M14" s="249" t="s">
        <v>48</v>
      </c>
      <c r="N14" s="41" t="s">
        <v>55</v>
      </c>
      <c r="O14" s="250" t="s">
        <v>49</v>
      </c>
      <c r="Q14" s="88"/>
      <c r="R14" s="154"/>
      <c r="S14" s="154" t="s">
        <v>122</v>
      </c>
      <c r="T14" s="89" t="str">
        <f>cat0</f>
        <v>Menial</v>
      </c>
      <c r="U14" s="89" t="str">
        <f>cat1</f>
        <v>BlueCol</v>
      </c>
      <c r="V14" s="89" t="str">
        <f>IF(cat2="","",cat2)</f>
        <v>Craft</v>
      </c>
      <c r="W14" s="89" t="str">
        <f>IF(cat3="","",cat3)</f>
        <v>WhiteCol</v>
      </c>
      <c r="X14" s="89" t="str">
        <f>IF(cat4="","",cat4)</f>
        <v>prof</v>
      </c>
      <c r="Y14" s="89">
        <f>IF(cat5="","",cat5)</f>
      </c>
      <c r="Z14" s="89">
        <f>IF(cat6="","",cat6)</f>
      </c>
      <c r="AA14" s="89">
        <f>IF(cat7="","",cat7)</f>
      </c>
      <c r="AB14" s="89">
        <f>IF(cat8="","",cat8)</f>
      </c>
      <c r="AC14" s="90">
        <f>IF(cat9="","",cat9)</f>
      </c>
      <c r="AE14" s="32" t="s">
        <v>0</v>
      </c>
      <c r="AF14" s="171" t="s">
        <v>10</v>
      </c>
    </row>
    <row r="15" spans="3:29" ht="12.75">
      <c r="C15" s="245" t="s">
        <v>0</v>
      </c>
      <c r="D15" s="92" t="s">
        <v>24</v>
      </c>
      <c r="E15" s="92" t="s">
        <v>23</v>
      </c>
      <c r="F15" s="92" t="s">
        <v>25</v>
      </c>
      <c r="G15" s="91" t="s">
        <v>24</v>
      </c>
      <c r="H15" s="92" t="s">
        <v>23</v>
      </c>
      <c r="I15" s="92" t="s">
        <v>25</v>
      </c>
      <c r="J15" s="91" t="s">
        <v>24</v>
      </c>
      <c r="K15" s="92" t="s">
        <v>23</v>
      </c>
      <c r="L15" s="92" t="s">
        <v>25</v>
      </c>
      <c r="M15" s="91" t="s">
        <v>24</v>
      </c>
      <c r="N15" s="92" t="s">
        <v>23</v>
      </c>
      <c r="O15" s="93" t="s">
        <v>25</v>
      </c>
      <c r="Q15" s="86"/>
      <c r="R15" s="27"/>
      <c r="S15" s="94"/>
      <c r="T15" s="95"/>
      <c r="U15" s="95"/>
      <c r="V15" s="95"/>
      <c r="W15" s="95"/>
      <c r="X15" s="95"/>
      <c r="Y15" s="95"/>
      <c r="Z15" s="95"/>
      <c r="AA15" s="95"/>
      <c r="AB15" s="95"/>
      <c r="AC15" s="96"/>
    </row>
    <row r="16" spans="2:32" ht="12.75">
      <c r="B16" s="97">
        <v>16</v>
      </c>
      <c r="C16" s="246" t="str">
        <f>RHV</f>
        <v>WHITE</v>
      </c>
      <c r="D16" s="98">
        <f ca="1">IF(OR(RHV="",ctoc1="",ctoc2=""),"",INDIRECT(ADDRESS(B16,Cc1th,1,,"Input"))-INDIRECT(ADDRESS(B16,Cc2th,1,,"Input")))</f>
        <v>-0.5378019999999999</v>
      </c>
      <c r="E16" s="98">
        <f>IF(D16="","",EXP(D16))</f>
        <v>0.5840305417524846</v>
      </c>
      <c r="F16" s="98">
        <f>IF(D16="","",EXP(D16*sd))</f>
        <v>0.8618615113560062</v>
      </c>
      <c r="G16" s="99">
        <f ca="1">IF(OR(RHV="",ctoc3="",ctoc4=""),"",INDIRECT(ADDRESS(B16,Cc3th,1,,"Input"))-INDIRECT(ADDRESS(B16,Cc4th,1,,"Input")))</f>
        <v>-1.0990414</v>
      </c>
      <c r="H16" s="98">
        <f>IF(G16="","",EXP(G16))</f>
        <v>0.33319032690773653</v>
      </c>
      <c r="I16" s="98">
        <f>IF(G16="","",EXP(G16*sd))</f>
        <v>0.7380084598767193</v>
      </c>
      <c r="J16" s="99">
        <f ca="1">IF(OR(RHV="",ctoc5="",ctoc6=""),"",INDIRECT(ADDRESS(B16,Cc5th,1,,"Input"))-INDIRECT(ADDRESS(B16,Cc6th,1,,"Input")))</f>
        <v>-1.3019623999999999</v>
      </c>
      <c r="K16" s="98">
        <f>IF(J16="","",EXP(J16))</f>
        <v>0.27199750106210935</v>
      </c>
      <c r="L16" s="98">
        <f>IF(J16="","",EXP(J16*sd))</f>
        <v>0.6977517057630596</v>
      </c>
      <c r="M16" s="99">
        <f ca="1">IF(OR(RHV="",ctoc7="",ctoc8=""),"",INDIRECT(ADDRESS(B16,Cc7th,1,,"Input"))-INDIRECT(ADDRESS(B16,Cc8th,1,,"Input")))</f>
        <v>0.2029209999999999</v>
      </c>
      <c r="N16" s="98">
        <f>IF(M16="","",EXP(M16))</f>
        <v>1.2249756913452454</v>
      </c>
      <c r="O16" s="100">
        <f>IF(M16="","",EXP(M16*sd))</f>
        <v>1.0576949562160296</v>
      </c>
      <c r="Q16" s="86"/>
      <c r="R16" s="27"/>
      <c r="S16" s="172" t="s">
        <v>2</v>
      </c>
      <c r="T16" s="101">
        <f>mlm1(+SeSum)</f>
        <v>0.08597381465982573</v>
      </c>
      <c r="U16" s="98">
        <f>IF(Tech!D16="","",mlmx(Tech!D16,+SeSum))</f>
        <v>0.18616055253489025</v>
      </c>
      <c r="V16" s="98">
        <f>IF(Tech!E16="","",mlmx(Tech!E16,+SeSum))</f>
        <v>0.278969135875006</v>
      </c>
      <c r="W16" s="98">
        <f>IF(Tech!F16="","",mlmx(Tech!F16,+SeSum))</f>
        <v>0.1674480035179323</v>
      </c>
      <c r="X16" s="98">
        <f>IF(Tech!G16="","",mlmx(Tech!G16,+SeSum))</f>
        <v>0.28144849341234573</v>
      </c>
      <c r="Y16" s="98">
        <f>IF(Tech!H16="","",mlmx(Tech!H16,+SeSum))</f>
      </c>
      <c r="Z16" s="98">
        <f>IF(Tech!I16="","",mlmx(Tech!I16,+SeSum))</f>
      </c>
      <c r="AA16" s="98">
        <f>IF(Tech!J16="","",mlmx(Tech!J16,+SeSum))</f>
      </c>
      <c r="AB16" s="98">
        <f>IF(Tech!K16="","",mlmx(Tech!K16,+SeSum))</f>
      </c>
      <c r="AC16" s="100">
        <f>IF(Tech!L16="","",mlmx(Tech!L16,+SeSum))</f>
      </c>
      <c r="AE16" s="102" t="str">
        <f>IF(RHV="","",RHV)</f>
        <v>WHITE</v>
      </c>
      <c r="AF16" s="102">
        <f>IF(RHV="","",Bval)</f>
        <v>1</v>
      </c>
    </row>
    <row r="17" spans="2:32" ht="12.75">
      <c r="B17" s="97">
        <v>17</v>
      </c>
      <c r="C17" s="246" t="str">
        <f>IF(RHV="","",RHV)</f>
        <v>ED</v>
      </c>
      <c r="D17" s="98">
        <f ca="1">IF(OR(RHV="",ctoc1="",ctoc2=""),"",INDIRECT(ADDRESS(B17,Cc1th,1,,"Input"))-INDIRECT(ADDRESS(B17,Cc2th,1,,"Input")))</f>
        <v>-0.8782766000000001</v>
      </c>
      <c r="E17" s="98">
        <f>IF(D17="","",EXP(D17))</f>
        <v>0.41549836488051384</v>
      </c>
      <c r="F17" s="98">
        <f>IF(D17="","",EXP(D17*sd))</f>
        <v>0.07518692839213932</v>
      </c>
      <c r="G17" s="99">
        <f ca="1">IF(OR(RHV="",ctoc3="",ctoc4=""),"",INDIRECT(ADDRESS(B17,Cc3th,1,,"Input"))-INDIRECT(ADDRESS(B17,Cc4th,1,,"Input")))</f>
        <v>-0.2593423</v>
      </c>
      <c r="H17" s="98">
        <f>IF(G17="","",EXP(G17))</f>
        <v>0.7715588732347346</v>
      </c>
      <c r="I17" s="98">
        <f>IF(G17="","",EXP(G17*sd))</f>
        <v>0.4657374782645585</v>
      </c>
      <c r="J17" s="99">
        <f ca="1">IF(OR(RHV="",ctoc5="",ctoc6=""),"",INDIRECT(ADDRESS(B17,Cc5th,1,,"Input"))-INDIRECT(ADDRESS(B17,Cc6th,1,,"Input")))</f>
        <v>-0.6850365</v>
      </c>
      <c r="K17" s="98">
        <f>IF(J17="","",EXP(J17))</f>
        <v>0.504071830617229</v>
      </c>
      <c r="L17" s="98">
        <f>IF(J17="","",EXP(J17*sd))</f>
        <v>0.13286654978205822</v>
      </c>
      <c r="M17" s="99">
        <f ca="1">IF(OR(RHV="",ctoc7="",ctoc8=""),"",INDIRECT(ADDRESS(B17,Cc7th,1,,"Input"))-INDIRECT(ADDRESS(B17,Cc8th,1,,"Input")))</f>
        <v>0.4256942</v>
      </c>
      <c r="N17" s="98">
        <f>IF(M17="","",EXP(M17))</f>
        <v>1.5306526299832532</v>
      </c>
      <c r="O17" s="100">
        <f>IF(M17="","",EXP(M17*sd))</f>
        <v>3.505302719371508</v>
      </c>
      <c r="Q17" s="103"/>
      <c r="R17" s="104"/>
      <c r="S17" s="172" t="s">
        <v>1</v>
      </c>
      <c r="T17" s="101">
        <f>mlm1(+SeSum)</f>
        <v>0.09426795763340481</v>
      </c>
      <c r="U17" s="98">
        <f>IF(Tech!D17="","",mlmx(Tech!D17,+SeSum))</f>
        <v>0.18419072376446396</v>
      </c>
      <c r="V17" s="98">
        <f>IF(Tech!E17="","",mlmx(Tech!E17,+SeSum))</f>
        <v>0.2941102023185321</v>
      </c>
      <c r="W17" s="98">
        <f>IF(Tech!F17="","",mlmx(Tech!F17,+SeSum))</f>
        <v>0.16112995220702134</v>
      </c>
      <c r="X17" s="98">
        <f>IF(Tech!G17="","",mlmx(Tech!G17,+SeSum))</f>
        <v>0.2663011640765779</v>
      </c>
      <c r="Y17" s="98">
        <f>IF(Tech!H17="","",mlmx(Tech!H17,+SeSum))</f>
      </c>
      <c r="Z17" s="98">
        <f>IF(Tech!I17="","",mlmx(Tech!I17,+SeSum))</f>
      </c>
      <c r="AA17" s="98">
        <f>IF(Tech!J17="","",mlmx(Tech!J17,+SeSum))</f>
      </c>
      <c r="AB17" s="98">
        <f>IF(Tech!K17="","",mlmx(Tech!K17,+SeSum))</f>
      </c>
      <c r="AC17" s="100">
        <f>IF(Tech!L17="","",mlmx(Tech!L17,+SeSum))</f>
      </c>
      <c r="AE17" s="105" t="str">
        <f aca="true" t="shared" si="0" ref="AE17:AE65">IF(RHV="","",RHV)</f>
        <v>ED</v>
      </c>
      <c r="AF17" s="106">
        <f aca="true" t="shared" si="1" ref="AF17:AF65">IF(RHV="","",Bval)</f>
        <v>13.09496</v>
      </c>
    </row>
    <row r="18" spans="2:32" ht="12.75">
      <c r="B18" s="97">
        <v>18</v>
      </c>
      <c r="C18" s="246" t="str">
        <f aca="true" t="shared" si="2" ref="C18:C65">IF(RHV="","",RHV)</f>
        <v>EXPER</v>
      </c>
      <c r="D18" s="98">
        <f aca="true" ca="1" t="shared" si="3" ref="D18:D65">IF(OR(RHV="",ctoc1="",ctoc2=""),"",INDIRECT(ADDRESS(B18,Cc1th,1,,"Input"))-INDIRECT(ADDRESS(B18,Cc2th,1,,"Input")))</f>
        <v>-0.030929699999999997</v>
      </c>
      <c r="E18" s="98">
        <f aca="true" t="shared" si="4" ref="E18:E65">IF(D18="","",EXP(D18))</f>
        <v>0.9695437296044871</v>
      </c>
      <c r="F18" s="98">
        <f aca="true" t="shared" si="5" ref="F18:F65">IF(D18="","",EXP(D18*sd))</f>
        <v>0.6493659738389653</v>
      </c>
      <c r="G18" s="99">
        <f aca="true" ca="1" t="shared" si="6" ref="G18:G65">IF(OR(RHV="",ctoc3="",ctoc4=""),"",INDIRECT(ADDRESS(B18,Cc3th,1,,"Input"))-INDIRECT(ADDRESS(B18,Cc4th,1,,"Input")))</f>
        <v>-0.006912099999999997</v>
      </c>
      <c r="H18" s="98">
        <f aca="true" t="shared" si="7" ref="H18:H65">IF(G18="","",EXP(G18))</f>
        <v>0.9931117336181383</v>
      </c>
      <c r="I18" s="98">
        <f aca="true" t="shared" si="8" ref="I18:I65">IF(G18="","",EXP(G18*sd))</f>
        <v>0.9080203468053242</v>
      </c>
      <c r="J18" s="99">
        <f aca="true" ca="1" t="shared" si="9" ref="J18:J65">IF(OR(RHV="",ctoc5="",ctoc6=""),"",INDIRECT(ADDRESS(B18,Cc5th,1,,"Input"))-INDIRECT(ADDRESS(B18,Cc6th,1,,"Input")))</f>
        <v>-0.007967099999999998</v>
      </c>
      <c r="K18" s="98">
        <f aca="true" t="shared" si="10" ref="K18:K65">IF(J18="","",EXP(J18))</f>
        <v>0.9920645532239573</v>
      </c>
      <c r="L18" s="98">
        <f aca="true" t="shared" si="11" ref="L18:L65">IF(J18="","",EXP(J18*sd))</f>
        <v>0.8947458056723626</v>
      </c>
      <c r="M18" s="99">
        <f aca="true" ca="1" t="shared" si="12" ref="M18:M65">IF(OR(RHV="",ctoc7="",ctoc8=""),"",INDIRECT(ADDRESS(B18,Cc7th,1,,"Input"))-INDIRECT(ADDRESS(B18,Cc8th,1,,"Input")))</f>
        <v>0.0010550000000000004</v>
      </c>
      <c r="N18" s="98">
        <f aca="true" t="shared" si="13" ref="N18:N65">IF(M18="","",EXP(M18))</f>
        <v>1.0010555567082586</v>
      </c>
      <c r="O18" s="100">
        <f aca="true" t="shared" si="14" ref="O18:O65">IF(M18="","",EXP(M18*sd))</f>
        <v>1.0148361032248554</v>
      </c>
      <c r="Q18" s="103"/>
      <c r="R18" s="104"/>
      <c r="S18" s="172" t="s">
        <v>4</v>
      </c>
      <c r="T18" s="101">
        <f>mlm1(+SeSum)</f>
        <v>0.32803471794917427</v>
      </c>
      <c r="U18" s="98">
        <f>IF(Tech!D18="","",mlmx(Tech!D18,+SeSum))</f>
        <v>0.5156980141110973</v>
      </c>
      <c r="V18" s="98">
        <f>IF(Tech!E18="","",mlmx(Tech!E18,+SeSum))</f>
        <v>0.15425086185935513</v>
      </c>
      <c r="W18" s="98">
        <f>IF(Tech!F18="","",mlmx(Tech!F18,+SeSum))</f>
        <v>0.001980157427112985</v>
      </c>
      <c r="X18" s="98">
        <f>IF(Tech!G18="","",mlmx(Tech!G18,+SeSum))</f>
        <v>3.624865326031111E-05</v>
      </c>
      <c r="Y18" s="98">
        <f>IF(Tech!H18="","",mlmx(Tech!H18,+SeSum))</f>
      </c>
      <c r="Z18" s="98">
        <f>IF(Tech!I18="","",mlmx(Tech!I18,+SeSum))</f>
      </c>
      <c r="AA18" s="98">
        <f>IF(Tech!J18="","",mlmx(Tech!J18,+SeSum))</f>
      </c>
      <c r="AB18" s="98">
        <f>IF(Tech!K18="","",mlmx(Tech!K18,+SeSum))</f>
      </c>
      <c r="AC18" s="100">
        <f>IF(Tech!L18="","",mlmx(Tech!L18,+SeSum))</f>
      </c>
      <c r="AE18" s="105" t="str">
        <f t="shared" si="0"/>
        <v>EXPER</v>
      </c>
      <c r="AF18" s="106">
        <f t="shared" si="1"/>
        <v>20.50148</v>
      </c>
    </row>
    <row r="19" spans="2:32" ht="12.75">
      <c r="B19" s="97">
        <v>19</v>
      </c>
      <c r="C19" s="246">
        <f t="shared" si="2"/>
      </c>
      <c r="D19" s="98">
        <f ca="1" t="shared" si="3"/>
      </c>
      <c r="E19" s="98">
        <f t="shared" si="4"/>
      </c>
      <c r="F19" s="98">
        <f t="shared" si="5"/>
      </c>
      <c r="G19" s="99">
        <f ca="1" t="shared" si="6"/>
      </c>
      <c r="H19" s="98">
        <f t="shared" si="7"/>
      </c>
      <c r="I19" s="98">
        <f t="shared" si="8"/>
      </c>
      <c r="J19" s="99">
        <f ca="1" t="shared" si="9"/>
      </c>
      <c r="K19" s="98">
        <f t="shared" si="10"/>
      </c>
      <c r="L19" s="98">
        <f t="shared" si="11"/>
      </c>
      <c r="M19" s="99">
        <f ca="1" t="shared" si="12"/>
      </c>
      <c r="N19" s="98">
        <f t="shared" si="13"/>
      </c>
      <c r="O19" s="100">
        <f t="shared" si="14"/>
      </c>
      <c r="Q19" s="107"/>
      <c r="R19" s="108"/>
      <c r="S19" s="173" t="s">
        <v>5</v>
      </c>
      <c r="T19" s="109">
        <f>mlm1(+SeSum)</f>
        <v>0.0002686631534017569</v>
      </c>
      <c r="U19" s="110">
        <f>IF(Tech!D19="","",mlmx(Tech!D19,+SeSum))</f>
        <v>0.0003629631003191666</v>
      </c>
      <c r="V19" s="110">
        <f>IF(Tech!E19="","",mlmx(Tech!E19,+SeSum))</f>
        <v>0.005871631289848824</v>
      </c>
      <c r="W19" s="110">
        <f>IF(Tech!F19="","",mlmx(Tech!F19,+SeSum))</f>
        <v>0.02893244119077201</v>
      </c>
      <c r="X19" s="110">
        <f>IF(Tech!G19="","",mlmx(Tech!G19,+SeSum))</f>
        <v>0.9645643012656583</v>
      </c>
      <c r="Y19" s="110">
        <f>IF(Tech!H19="","",mlmx(Tech!H19,+SeSum))</f>
      </c>
      <c r="Z19" s="110">
        <f>IF(Tech!I19="","",mlmx(Tech!I19,+SeSum))</f>
      </c>
      <c r="AA19" s="110">
        <f>IF(Tech!J19="","",mlmx(Tech!J19,+SeSum))</f>
      </c>
      <c r="AB19" s="110">
        <f>IF(Tech!K19="","",mlmx(Tech!K19,+SeSum))</f>
      </c>
      <c r="AC19" s="111">
        <f>IF(Tech!L19="","",mlmx(Tech!L19,+SeSum))</f>
      </c>
      <c r="AE19" s="105">
        <f t="shared" si="0"/>
      </c>
      <c r="AF19" s="106">
        <f t="shared" si="1"/>
      </c>
    </row>
    <row r="20" spans="2:32" ht="12.75">
      <c r="B20" s="97">
        <v>20</v>
      </c>
      <c r="C20" s="246">
        <f t="shared" si="2"/>
      </c>
      <c r="D20" s="98">
        <f ca="1" t="shared" si="3"/>
      </c>
      <c r="E20" s="98">
        <f t="shared" si="4"/>
      </c>
      <c r="F20" s="98">
        <f t="shared" si="5"/>
      </c>
      <c r="G20" s="99">
        <f ca="1" t="shared" si="6"/>
      </c>
      <c r="H20" s="98">
        <f t="shared" si="7"/>
      </c>
      <c r="I20" s="98">
        <f t="shared" si="8"/>
      </c>
      <c r="J20" s="99">
        <f ca="1" t="shared" si="9"/>
      </c>
      <c r="K20" s="98">
        <f t="shared" si="10"/>
      </c>
      <c r="L20" s="98">
        <f t="shared" si="11"/>
      </c>
      <c r="M20" s="99">
        <f ca="1" t="shared" si="12"/>
      </c>
      <c r="N20" s="98">
        <f t="shared" si="13"/>
      </c>
      <c r="O20" s="100">
        <f t="shared" si="14"/>
      </c>
      <c r="Q20" s="112" t="s">
        <v>78</v>
      </c>
      <c r="S20" s="113"/>
      <c r="T20" s="114"/>
      <c r="U20" s="114"/>
      <c r="V20" s="114"/>
      <c r="W20" s="114"/>
      <c r="X20" s="114"/>
      <c r="Y20" s="114"/>
      <c r="Z20" s="114"/>
      <c r="AA20" s="114"/>
      <c r="AB20" s="114"/>
      <c r="AC20" s="115"/>
      <c r="AE20" s="105">
        <f t="shared" si="0"/>
      </c>
      <c r="AF20" s="106">
        <f t="shared" si="1"/>
      </c>
    </row>
    <row r="21" spans="2:32" ht="12.75">
      <c r="B21" s="97">
        <v>21</v>
      </c>
      <c r="C21" s="246">
        <f t="shared" si="2"/>
      </c>
      <c r="D21" s="98">
        <f ca="1" t="shared" si="3"/>
      </c>
      <c r="E21" s="98">
        <f t="shared" si="4"/>
      </c>
      <c r="F21" s="98">
        <f t="shared" si="5"/>
      </c>
      <c r="G21" s="99">
        <f ca="1" t="shared" si="6"/>
      </c>
      <c r="H21" s="98">
        <f t="shared" si="7"/>
      </c>
      <c r="I21" s="98">
        <f t="shared" si="8"/>
      </c>
      <c r="J21" s="99">
        <f ca="1" t="shared" si="9"/>
      </c>
      <c r="K21" s="98">
        <f t="shared" si="10"/>
      </c>
      <c r="L21" s="98">
        <f t="shared" si="11"/>
      </c>
      <c r="M21" s="99">
        <f ca="1" t="shared" si="12"/>
      </c>
      <c r="N21" s="98">
        <f t="shared" si="13"/>
      </c>
      <c r="O21" s="100">
        <f t="shared" si="14"/>
      </c>
      <c r="Q21" s="103"/>
      <c r="R21" s="116" t="s">
        <v>79</v>
      </c>
      <c r="S21" s="113"/>
      <c r="T21" s="114"/>
      <c r="U21" s="114"/>
      <c r="V21" s="114"/>
      <c r="W21" s="114"/>
      <c r="X21" s="114"/>
      <c r="Y21" s="114"/>
      <c r="Z21" s="114"/>
      <c r="AA21" s="114"/>
      <c r="AB21" s="114"/>
      <c r="AC21" s="115"/>
      <c r="AE21" s="105">
        <f t="shared" si="0"/>
      </c>
      <c r="AF21" s="106">
        <f t="shared" si="1"/>
      </c>
    </row>
    <row r="22" spans="2:32" ht="12.75">
      <c r="B22" s="97">
        <v>22</v>
      </c>
      <c r="C22" s="246">
        <f t="shared" si="2"/>
      </c>
      <c r="D22" s="98">
        <f ca="1" t="shared" si="3"/>
      </c>
      <c r="E22" s="98">
        <f t="shared" si="4"/>
      </c>
      <c r="F22" s="98">
        <f t="shared" si="5"/>
      </c>
      <c r="G22" s="99">
        <f ca="1" t="shared" si="6"/>
      </c>
      <c r="H22" s="98">
        <f t="shared" si="7"/>
      </c>
      <c r="I22" s="98">
        <f t="shared" si="8"/>
      </c>
      <c r="J22" s="99">
        <f ca="1" t="shared" si="9"/>
      </c>
      <c r="K22" s="98">
        <f t="shared" si="10"/>
      </c>
      <c r="L22" s="98">
        <f t="shared" si="11"/>
      </c>
      <c r="M22" s="99">
        <f ca="1" t="shared" si="12"/>
      </c>
      <c r="N22" s="98">
        <f t="shared" si="13"/>
      </c>
      <c r="O22" s="100">
        <f t="shared" si="14"/>
      </c>
      <c r="Q22" s="117"/>
      <c r="R22" s="118"/>
      <c r="S22" s="119"/>
      <c r="T22" s="120" t="str">
        <f>T14</f>
        <v>Menial</v>
      </c>
      <c r="U22" s="120" t="str">
        <f aca="true" t="shared" si="15" ref="U22:AC22">U14</f>
        <v>BlueCol</v>
      </c>
      <c r="V22" s="120" t="str">
        <f t="shared" si="15"/>
        <v>Craft</v>
      </c>
      <c r="W22" s="120" t="str">
        <f t="shared" si="15"/>
        <v>WhiteCol</v>
      </c>
      <c r="X22" s="120" t="str">
        <f t="shared" si="15"/>
        <v>prof</v>
      </c>
      <c r="Y22" s="120">
        <f t="shared" si="15"/>
      </c>
      <c r="Z22" s="120">
        <f t="shared" si="15"/>
      </c>
      <c r="AA22" s="120">
        <f t="shared" si="15"/>
      </c>
      <c r="AB22" s="120">
        <f t="shared" si="15"/>
      </c>
      <c r="AC22" s="121">
        <f t="shared" si="15"/>
      </c>
      <c r="AE22" s="105">
        <f t="shared" si="0"/>
      </c>
      <c r="AF22" s="106">
        <f t="shared" si="1"/>
      </c>
    </row>
    <row r="23" spans="2:32" ht="12.75">
      <c r="B23" s="97">
        <v>23</v>
      </c>
      <c r="C23" s="246">
        <f t="shared" si="2"/>
      </c>
      <c r="D23" s="98">
        <f ca="1" t="shared" si="3"/>
      </c>
      <c r="E23" s="98">
        <f t="shared" si="4"/>
      </c>
      <c r="F23" s="98">
        <f t="shared" si="5"/>
      </c>
      <c r="G23" s="99">
        <f ca="1" t="shared" si="6"/>
      </c>
      <c r="H23" s="98">
        <f t="shared" si="7"/>
      </c>
      <c r="I23" s="98">
        <f t="shared" si="8"/>
      </c>
      <c r="J23" s="99">
        <f ca="1" t="shared" si="9"/>
      </c>
      <c r="K23" s="98">
        <f t="shared" si="10"/>
      </c>
      <c r="L23" s="98">
        <f t="shared" si="11"/>
      </c>
      <c r="M23" s="99">
        <f ca="1" t="shared" si="12"/>
      </c>
      <c r="N23" s="98">
        <f t="shared" si="13"/>
      </c>
      <c r="O23" s="100">
        <f t="shared" si="14"/>
      </c>
      <c r="Q23" s="122"/>
      <c r="R23" s="42"/>
      <c r="S23" s="43">
        <v>0</v>
      </c>
      <c r="T23" s="123">
        <f>IF(+SeSum="","",mlm1(+SeSum))</f>
        <v>0.21682901600946583</v>
      </c>
      <c r="U23" s="124">
        <f>IF(Tech!D23="","",mlmx(Tech!D23,+SeSum))</f>
        <v>0.13634273367459457</v>
      </c>
      <c r="V23" s="124">
        <f>IF(Tech!E23="","",mlmx(Tech!E23,+SeSum))</f>
        <v>0.4387035414322826</v>
      </c>
      <c r="W23" s="124">
        <f>IF(Tech!F23="","",mlmx(Tech!F23,+SeSum))</f>
        <v>0.08773792143576861</v>
      </c>
      <c r="X23" s="124">
        <f>IF(Tech!G23="","",mlmx(Tech!G23,+SeSum))</f>
        <v>0.1203867874478885</v>
      </c>
      <c r="Y23" s="124">
        <f>IF(Tech!H23="","",mlmx(Tech!H23,+SeSum))</f>
      </c>
      <c r="Z23" s="124">
        <f>IF(Tech!I23="","",mlmx(Tech!I23,+SeSum))</f>
      </c>
      <c r="AA23" s="124">
        <f>IF(Tech!J23="","",mlmx(Tech!J23,+SeSum))</f>
      </c>
      <c r="AB23" s="124">
        <f>IF(Tech!K23="","",mlmx(Tech!K23,+SeSum))</f>
      </c>
      <c r="AC23" s="125">
        <f>IF(Tech!L23="","",mlmx(Tech!L23,+SeSum))</f>
      </c>
      <c r="AE23" s="105">
        <f t="shared" si="0"/>
      </c>
      <c r="AF23" s="106">
        <f t="shared" si="1"/>
      </c>
    </row>
    <row r="24" spans="2:32" ht="12.75">
      <c r="B24" s="97">
        <v>24</v>
      </c>
      <c r="C24" s="246">
        <f t="shared" si="2"/>
      </c>
      <c r="D24" s="98">
        <f ca="1" t="shared" si="3"/>
      </c>
      <c r="E24" s="98">
        <f t="shared" si="4"/>
      </c>
      <c r="F24" s="98">
        <f t="shared" si="5"/>
      </c>
      <c r="G24" s="99">
        <f ca="1" t="shared" si="6"/>
      </c>
      <c r="H24" s="98">
        <f t="shared" si="7"/>
      </c>
      <c r="I24" s="98">
        <f t="shared" si="8"/>
      </c>
      <c r="J24" s="99">
        <f ca="1" t="shared" si="9"/>
      </c>
      <c r="K24" s="98">
        <f t="shared" si="10"/>
      </c>
      <c r="L24" s="98">
        <f t="shared" si="11"/>
      </c>
      <c r="M24" s="99">
        <f ca="1" t="shared" si="12"/>
      </c>
      <c r="N24" s="98">
        <f t="shared" si="13"/>
      </c>
      <c r="O24" s="100">
        <f t="shared" si="14"/>
      </c>
      <c r="Q24" s="126"/>
      <c r="R24" s="44"/>
      <c r="S24" s="45">
        <v>1</v>
      </c>
      <c r="T24" s="127">
        <f aca="true" t="shared" si="16" ref="T24:T37">IF(+SeSum="","",mlm1(+SeSum))</f>
        <v>0.08597381465982573</v>
      </c>
      <c r="U24" s="98">
        <f>IF(Tech!D24="","",mlmx(Tech!D24,+SeSum))</f>
        <v>0.18616055253489025</v>
      </c>
      <c r="V24" s="98">
        <f>IF(Tech!E24="","",mlmx(Tech!E24,+SeSum))</f>
        <v>0.278969135875006</v>
      </c>
      <c r="W24" s="98">
        <f>IF(Tech!F24="","",mlmx(Tech!F24,+SeSum))</f>
        <v>0.1674480035179323</v>
      </c>
      <c r="X24" s="98">
        <f>IF(Tech!G24="","",mlmx(Tech!G24,+SeSum))</f>
        <v>0.28144849341234573</v>
      </c>
      <c r="Y24" s="98">
        <f>IF(Tech!H24="","",mlmx(Tech!H24,+SeSum))</f>
      </c>
      <c r="Z24" s="98">
        <f>IF(Tech!I24="","",mlmx(Tech!I24,+SeSum))</f>
      </c>
      <c r="AA24" s="98">
        <f>IF(Tech!J24="","",mlmx(Tech!J24,+SeSum))</f>
      </c>
      <c r="AB24" s="98">
        <f>IF(Tech!K24="","",mlmx(Tech!K24,+SeSum))</f>
      </c>
      <c r="AC24" s="100">
        <f>IF(Tech!L24="","",mlmx(Tech!L24,+SeSum))</f>
      </c>
      <c r="AE24" s="105">
        <f t="shared" si="0"/>
      </c>
      <c r="AF24" s="106">
        <f t="shared" si="1"/>
      </c>
    </row>
    <row r="25" spans="2:32" ht="12.75">
      <c r="B25" s="97">
        <v>25</v>
      </c>
      <c r="C25" s="246">
        <f t="shared" si="2"/>
      </c>
      <c r="D25" s="98">
        <f ca="1" t="shared" si="3"/>
      </c>
      <c r="E25" s="98">
        <f t="shared" si="4"/>
      </c>
      <c r="F25" s="98">
        <f t="shared" si="5"/>
      </c>
      <c r="G25" s="99">
        <f ca="1" t="shared" si="6"/>
      </c>
      <c r="H25" s="98">
        <f t="shared" si="7"/>
      </c>
      <c r="I25" s="98">
        <f t="shared" si="8"/>
      </c>
      <c r="J25" s="99">
        <f ca="1" t="shared" si="9"/>
      </c>
      <c r="K25" s="98">
        <f t="shared" si="10"/>
      </c>
      <c r="L25" s="98">
        <f t="shared" si="11"/>
      </c>
      <c r="M25" s="99">
        <f ca="1" t="shared" si="12"/>
      </c>
      <c r="N25" s="98">
        <f t="shared" si="13"/>
      </c>
      <c r="O25" s="100">
        <f t="shared" si="14"/>
      </c>
      <c r="Q25" s="128" t="s">
        <v>67</v>
      </c>
      <c r="R25" s="46" t="s">
        <v>83</v>
      </c>
      <c r="S25" s="45"/>
      <c r="T25" s="127">
        <f t="shared" si="16"/>
      </c>
      <c r="U25" s="98">
        <f>IF(Tech!D25="","",mlmx(Tech!D25,+SeSum))</f>
      </c>
      <c r="V25" s="98">
        <f>IF(Tech!E25="","",mlmx(Tech!E25,+SeSum))</f>
      </c>
      <c r="W25" s="98">
        <f>IF(Tech!F25="","",mlmx(Tech!F25,+SeSum))</f>
      </c>
      <c r="X25" s="98">
        <f>IF(Tech!G25="","",mlmx(Tech!G25,+SeSum))</f>
      </c>
      <c r="Y25" s="98">
        <f>IF(Tech!H25="","",mlmx(Tech!H25,+SeSum))</f>
      </c>
      <c r="Z25" s="98">
        <f>IF(Tech!I25="","",mlmx(Tech!I25,+SeSum))</f>
      </c>
      <c r="AA25" s="98">
        <f>IF(Tech!J25="","",mlmx(Tech!J25,+SeSum))</f>
      </c>
      <c r="AB25" s="98">
        <f>IF(Tech!K25="","",mlmx(Tech!K25,+SeSum))</f>
      </c>
      <c r="AC25" s="100">
        <f>IF(Tech!L25="","",mlmx(Tech!L25,+SeSum))</f>
      </c>
      <c r="AE25" s="105">
        <f t="shared" si="0"/>
      </c>
      <c r="AF25" s="106">
        <f t="shared" si="1"/>
      </c>
    </row>
    <row r="26" spans="2:32" ht="12.75">
      <c r="B26" s="97">
        <v>26</v>
      </c>
      <c r="C26" s="246">
        <f t="shared" si="2"/>
      </c>
      <c r="D26" s="98">
        <f ca="1" t="shared" si="3"/>
      </c>
      <c r="E26" s="98">
        <f t="shared" si="4"/>
      </c>
      <c r="F26" s="98">
        <f t="shared" si="5"/>
      </c>
      <c r="G26" s="99">
        <f ca="1" t="shared" si="6"/>
      </c>
      <c r="H26" s="98">
        <f t="shared" si="7"/>
      </c>
      <c r="I26" s="98">
        <f t="shared" si="8"/>
      </c>
      <c r="J26" s="99">
        <f ca="1" t="shared" si="9"/>
      </c>
      <c r="K26" s="98">
        <f t="shared" si="10"/>
      </c>
      <c r="L26" s="98">
        <f t="shared" si="11"/>
      </c>
      <c r="M26" s="99">
        <f ca="1" t="shared" si="12"/>
      </c>
      <c r="N26" s="98">
        <f t="shared" si="13"/>
      </c>
      <c r="O26" s="100">
        <f t="shared" si="14"/>
      </c>
      <c r="Q26" s="129"/>
      <c r="R26" s="47"/>
      <c r="S26" s="45"/>
      <c r="T26" s="127">
        <f t="shared" si="16"/>
      </c>
      <c r="U26" s="98">
        <f>IF(Tech!D26="","",mlmx(Tech!D26,+SeSum))</f>
      </c>
      <c r="V26" s="98">
        <f>IF(Tech!E26="","",mlmx(Tech!E26,+SeSum))</f>
      </c>
      <c r="W26" s="98">
        <f>IF(Tech!F26="","",mlmx(Tech!F26,+SeSum))</f>
      </c>
      <c r="X26" s="98">
        <f>IF(Tech!G26="","",mlmx(Tech!G26,+SeSum))</f>
      </c>
      <c r="Y26" s="98">
        <f>IF(Tech!H26="","",mlmx(Tech!H26,+SeSum))</f>
      </c>
      <c r="Z26" s="98">
        <f>IF(Tech!I26="","",mlmx(Tech!I26,+SeSum))</f>
      </c>
      <c r="AA26" s="98">
        <f>IF(Tech!J26="","",mlmx(Tech!J26,+SeSum))</f>
      </c>
      <c r="AB26" s="98">
        <f>IF(Tech!K26="","",mlmx(Tech!K26,+SeSum))</f>
      </c>
      <c r="AC26" s="100">
        <f>IF(Tech!L26="","",mlmx(Tech!L26,+SeSum))</f>
      </c>
      <c r="AE26" s="105">
        <f t="shared" si="0"/>
      </c>
      <c r="AF26" s="106">
        <f t="shared" si="1"/>
      </c>
    </row>
    <row r="27" spans="2:32" ht="12.75">
      <c r="B27" s="97">
        <v>27</v>
      </c>
      <c r="C27" s="246">
        <f t="shared" si="2"/>
      </c>
      <c r="D27" s="98">
        <f ca="1" t="shared" si="3"/>
      </c>
      <c r="E27" s="98">
        <f t="shared" si="4"/>
      </c>
      <c r="F27" s="98">
        <f t="shared" si="5"/>
      </c>
      <c r="G27" s="99">
        <f ca="1" t="shared" si="6"/>
      </c>
      <c r="H27" s="98">
        <f t="shared" si="7"/>
      </c>
      <c r="I27" s="98">
        <f t="shared" si="8"/>
      </c>
      <c r="J27" s="99">
        <f ca="1" t="shared" si="9"/>
      </c>
      <c r="K27" s="98">
        <f t="shared" si="10"/>
      </c>
      <c r="L27" s="98">
        <f t="shared" si="11"/>
      </c>
      <c r="M27" s="99">
        <f ca="1" t="shared" si="12"/>
      </c>
      <c r="N27" s="98">
        <f t="shared" si="13"/>
      </c>
      <c r="O27" s="100">
        <f t="shared" si="14"/>
      </c>
      <c r="Q27" s="129"/>
      <c r="R27" s="47"/>
      <c r="S27" s="45"/>
      <c r="T27" s="130">
        <f t="shared" si="16"/>
      </c>
      <c r="U27" s="131">
        <f>IF(Tech!D27="","",mlmx(Tech!D27,+SeSum))</f>
      </c>
      <c r="V27" s="131">
        <f>IF(Tech!E27="","",mlmx(Tech!E27,+SeSum))</f>
      </c>
      <c r="W27" s="131">
        <f>IF(Tech!F27="","",mlmx(Tech!F27,+SeSum))</f>
      </c>
      <c r="X27" s="131">
        <f>IF(Tech!G27="","",mlmx(Tech!G27,+SeSum))</f>
      </c>
      <c r="Y27" s="131">
        <f>IF(Tech!H27="","",mlmx(Tech!H27,+SeSum))</f>
      </c>
      <c r="Z27" s="131">
        <f>IF(Tech!I27="","",mlmx(Tech!I27,+SeSum))</f>
      </c>
      <c r="AA27" s="131">
        <f>IF(Tech!J27="","",mlmx(Tech!J27,+SeSum))</f>
      </c>
      <c r="AB27" s="131">
        <f>IF(Tech!K27="","",mlmx(Tech!K27,+SeSum))</f>
      </c>
      <c r="AC27" s="132">
        <f>IF(Tech!L27="","",mlmx(Tech!L27,+SeSum))</f>
      </c>
      <c r="AE27" s="105">
        <f t="shared" si="0"/>
      </c>
      <c r="AF27" s="106">
        <f t="shared" si="1"/>
      </c>
    </row>
    <row r="28" spans="2:32" ht="12.75">
      <c r="B28" s="97">
        <v>28</v>
      </c>
      <c r="C28" s="246">
        <f t="shared" si="2"/>
      </c>
      <c r="D28" s="98">
        <f ca="1" t="shared" si="3"/>
      </c>
      <c r="E28" s="98">
        <f t="shared" si="4"/>
      </c>
      <c r="F28" s="98">
        <f t="shared" si="5"/>
      </c>
      <c r="G28" s="99">
        <f ca="1" t="shared" si="6"/>
      </c>
      <c r="H28" s="98">
        <f t="shared" si="7"/>
      </c>
      <c r="I28" s="98">
        <f t="shared" si="8"/>
      </c>
      <c r="J28" s="99">
        <f ca="1" t="shared" si="9"/>
      </c>
      <c r="K28" s="98">
        <f t="shared" si="10"/>
      </c>
      <c r="L28" s="98">
        <f t="shared" si="11"/>
      </c>
      <c r="M28" s="99">
        <f ca="1" t="shared" si="12"/>
      </c>
      <c r="N28" s="98">
        <f t="shared" si="13"/>
      </c>
      <c r="O28" s="100">
        <f t="shared" si="14"/>
      </c>
      <c r="Q28" s="133"/>
      <c r="R28" s="48"/>
      <c r="S28" s="49">
        <v>3</v>
      </c>
      <c r="T28" s="127">
        <f t="shared" si="16"/>
        <v>0.1216152562671566</v>
      </c>
      <c r="U28" s="98">
        <f>IF(Tech!D28="","",mlmx(Tech!D28,+SeSum))</f>
        <v>0.7184653736196487</v>
      </c>
      <c r="V28" s="98">
        <f>IF(Tech!E28="","",mlmx(Tech!E28,+SeSum))</f>
        <v>0.15306430028536763</v>
      </c>
      <c r="W28" s="98">
        <f>IF(Tech!F28="","",mlmx(Tech!F28,+SeSum))</f>
        <v>0.006701823652610788</v>
      </c>
      <c r="X28" s="98">
        <f>IF(Tech!G28="","",mlmx(Tech!G28,+SeSum))</f>
        <v>0.00015324617521636385</v>
      </c>
      <c r="Y28" s="98">
        <f>IF(Tech!H28="","",mlmx(Tech!H28,+SeSum))</f>
      </c>
      <c r="Z28" s="98">
        <f>IF(Tech!I28="","",mlmx(Tech!I28,+SeSum))</f>
      </c>
      <c r="AA28" s="98">
        <f>IF(Tech!J28="","",mlmx(Tech!J28,+SeSum))</f>
      </c>
      <c r="AB28" s="98">
        <f>IF(Tech!K28="","",mlmx(Tech!K28,+SeSum))</f>
      </c>
      <c r="AC28" s="100">
        <f>IF(Tech!L28="","",mlmx(Tech!L28,+SeSum))</f>
      </c>
      <c r="AE28" s="105">
        <f t="shared" si="0"/>
      </c>
      <c r="AF28" s="106">
        <f t="shared" si="1"/>
      </c>
    </row>
    <row r="29" spans="2:32" ht="12.75">
      <c r="B29" s="97">
        <v>29</v>
      </c>
      <c r="C29" s="246">
        <f t="shared" si="2"/>
      </c>
      <c r="D29" s="98">
        <f ca="1" t="shared" si="3"/>
      </c>
      <c r="E29" s="98">
        <f t="shared" si="4"/>
      </c>
      <c r="F29" s="98">
        <f t="shared" si="5"/>
      </c>
      <c r="G29" s="99">
        <f ca="1" t="shared" si="6"/>
      </c>
      <c r="H29" s="98">
        <f t="shared" si="7"/>
      </c>
      <c r="I29" s="98">
        <f t="shared" si="8"/>
      </c>
      <c r="J29" s="99">
        <f ca="1" t="shared" si="9"/>
      </c>
      <c r="K29" s="98">
        <f t="shared" si="10"/>
      </c>
      <c r="L29" s="98">
        <f t="shared" si="11"/>
      </c>
      <c r="M29" s="99">
        <f ca="1" t="shared" si="12"/>
      </c>
      <c r="N29" s="98">
        <f t="shared" si="13"/>
      </c>
      <c r="O29" s="100">
        <f t="shared" si="14"/>
      </c>
      <c r="Q29" s="126"/>
      <c r="R29" s="44"/>
      <c r="S29" s="45">
        <v>8</v>
      </c>
      <c r="T29" s="127">
        <f t="shared" si="16"/>
        <v>0.14307250422274023</v>
      </c>
      <c r="U29" s="98">
        <f>IF(Tech!D29="","",mlmx(Tech!D29,+SeSum))</f>
        <v>0.5141335783137531</v>
      </c>
      <c r="V29" s="98">
        <f>IF(Tech!E29="","",mlmx(Tech!E29,+SeSum))</f>
        <v>0.287845591670372</v>
      </c>
      <c r="W29" s="98">
        <f>IF(Tech!F29="","",mlmx(Tech!F29,+SeSum))</f>
        <v>0.04609282399793437</v>
      </c>
      <c r="X29" s="98">
        <f>IF(Tech!G29="","",mlmx(Tech!G29,+SeSum))</f>
        <v>0.008855501795200471</v>
      </c>
      <c r="Y29" s="98">
        <f>IF(Tech!H29="","",mlmx(Tech!H29,+SeSum))</f>
      </c>
      <c r="Z29" s="98">
        <f>IF(Tech!I29="","",mlmx(Tech!I29,+SeSum))</f>
      </c>
      <c r="AA29" s="98">
        <f>IF(Tech!J29="","",mlmx(Tech!J29,+SeSum))</f>
      </c>
      <c r="AB29" s="98">
        <f>IF(Tech!K29="","",mlmx(Tech!K29,+SeSum))</f>
      </c>
      <c r="AC29" s="100">
        <f>IF(Tech!L29="","",mlmx(Tech!L29,+SeSum))</f>
      </c>
      <c r="AE29" s="105">
        <f t="shared" si="0"/>
      </c>
      <c r="AF29" s="106">
        <f t="shared" si="1"/>
      </c>
    </row>
    <row r="30" spans="2:32" ht="12.75">
      <c r="B30" s="97">
        <v>30</v>
      </c>
      <c r="C30" s="246">
        <f t="shared" si="2"/>
      </c>
      <c r="D30" s="98">
        <f ca="1" t="shared" si="3"/>
      </c>
      <c r="E30" s="98">
        <f t="shared" si="4"/>
      </c>
      <c r="F30" s="98">
        <f t="shared" si="5"/>
      </c>
      <c r="G30" s="99">
        <f ca="1" t="shared" si="6"/>
      </c>
      <c r="H30" s="98">
        <f t="shared" si="7"/>
      </c>
      <c r="I30" s="98">
        <f t="shared" si="8"/>
      </c>
      <c r="J30" s="99">
        <f ca="1" t="shared" si="9"/>
      </c>
      <c r="K30" s="98">
        <f t="shared" si="10"/>
      </c>
      <c r="L30" s="98">
        <f t="shared" si="11"/>
      </c>
      <c r="M30" s="99">
        <f ca="1" t="shared" si="12"/>
      </c>
      <c r="N30" s="98">
        <f t="shared" si="13"/>
      </c>
      <c r="O30" s="100">
        <f t="shared" si="14"/>
      </c>
      <c r="Q30" s="128" t="s">
        <v>68</v>
      </c>
      <c r="R30" s="46" t="s">
        <v>26</v>
      </c>
      <c r="S30" s="45">
        <v>13</v>
      </c>
      <c r="T30" s="127">
        <f t="shared" si="16"/>
        <v>0.08829558322275204</v>
      </c>
      <c r="U30" s="98">
        <f>IF(Tech!D30="","",mlmx(Tech!D30,+SeSum))</f>
        <v>0.19300154105375367</v>
      </c>
      <c r="V30" s="98">
        <f>IF(Tech!E30="","",mlmx(Tech!E30,+SeSum))</f>
        <v>0.28396181027470735</v>
      </c>
      <c r="W30" s="98">
        <f>IF(Tech!F30="","",mlmx(Tech!F30,+SeSum))</f>
        <v>0.16629849531852042</v>
      </c>
      <c r="X30" s="98">
        <f>IF(Tech!G30="","",mlmx(Tech!G30,+SeSum))</f>
        <v>0.2684425701302665</v>
      </c>
      <c r="Y30" s="98">
        <f>IF(Tech!H30="","",mlmx(Tech!H30,+SeSum))</f>
      </c>
      <c r="Z30" s="98">
        <f>IF(Tech!I30="","",mlmx(Tech!I30,+SeSum))</f>
      </c>
      <c r="AA30" s="98">
        <f>IF(Tech!J30="","",mlmx(Tech!J30,+SeSum))</f>
      </c>
      <c r="AB30" s="98">
        <f>IF(Tech!K30="","",mlmx(Tech!K30,+SeSum))</f>
      </c>
      <c r="AC30" s="100">
        <f>IF(Tech!L30="","",mlmx(Tech!L30,+SeSum))</f>
      </c>
      <c r="AE30" s="105">
        <f t="shared" si="0"/>
      </c>
      <c r="AF30" s="106">
        <f t="shared" si="1"/>
      </c>
    </row>
    <row r="31" spans="2:32" ht="12.75">
      <c r="B31" s="97">
        <v>31</v>
      </c>
      <c r="C31" s="246">
        <f t="shared" si="2"/>
      </c>
      <c r="D31" s="98">
        <f ca="1" t="shared" si="3"/>
      </c>
      <c r="E31" s="98">
        <f t="shared" si="4"/>
      </c>
      <c r="F31" s="98">
        <f t="shared" si="5"/>
      </c>
      <c r="G31" s="99">
        <f ca="1" t="shared" si="6"/>
      </c>
      <c r="H31" s="98">
        <f t="shared" si="7"/>
      </c>
      <c r="I31" s="98">
        <f t="shared" si="8"/>
      </c>
      <c r="J31" s="99">
        <f ca="1" t="shared" si="9"/>
      </c>
      <c r="K31" s="98">
        <f t="shared" si="10"/>
      </c>
      <c r="L31" s="98">
        <f t="shared" si="11"/>
      </c>
      <c r="M31" s="99">
        <f ca="1" t="shared" si="12"/>
      </c>
      <c r="N31" s="98">
        <f t="shared" si="13"/>
      </c>
      <c r="O31" s="100">
        <f t="shared" si="14"/>
      </c>
      <c r="Q31" s="129"/>
      <c r="R31" s="47"/>
      <c r="S31" s="45">
        <v>18</v>
      </c>
      <c r="T31" s="127">
        <f t="shared" si="16"/>
        <v>0.0059588184134499655</v>
      </c>
      <c r="U31" s="98">
        <f>IF(Tech!D31="","",mlmx(Tech!D31,+SeSum))</f>
        <v>0.007922896003690534</v>
      </c>
      <c r="V31" s="98">
        <f>IF(Tech!E31="","",mlmx(Tech!E31,+SeSum))</f>
        <v>0.030633643956178975</v>
      </c>
      <c r="W31" s="98">
        <f>IF(Tech!F31="","",mlmx(Tech!F31,+SeSum))</f>
        <v>0.06561176081369356</v>
      </c>
      <c r="X31" s="98">
        <f>IF(Tech!G31="","",mlmx(Tech!G31,+SeSum))</f>
        <v>0.889872880812987</v>
      </c>
      <c r="Y31" s="98">
        <f>IF(Tech!H31="","",mlmx(Tech!H31,+SeSum))</f>
      </c>
      <c r="Z31" s="98">
        <f>IF(Tech!I31="","",mlmx(Tech!I31,+SeSum))</f>
      </c>
      <c r="AA31" s="98">
        <f>IF(Tech!J31="","",mlmx(Tech!J31,+SeSum))</f>
      </c>
      <c r="AB31" s="98">
        <f>IF(Tech!K31="","",mlmx(Tech!K31,+SeSum))</f>
      </c>
      <c r="AC31" s="100">
        <f>IF(Tech!L31="","",mlmx(Tech!L31,+SeSum))</f>
      </c>
      <c r="AE31" s="105">
        <f t="shared" si="0"/>
      </c>
      <c r="AF31" s="106">
        <f t="shared" si="1"/>
      </c>
    </row>
    <row r="32" spans="2:32" ht="12.75">
      <c r="B32" s="97">
        <v>32</v>
      </c>
      <c r="C32" s="246">
        <f t="shared" si="2"/>
      </c>
      <c r="D32" s="98">
        <f ca="1" t="shared" si="3"/>
      </c>
      <c r="E32" s="98">
        <f t="shared" si="4"/>
      </c>
      <c r="F32" s="98">
        <f t="shared" si="5"/>
      </c>
      <c r="G32" s="99">
        <f ca="1" t="shared" si="6"/>
      </c>
      <c r="H32" s="98">
        <f t="shared" si="7"/>
      </c>
      <c r="I32" s="98">
        <f t="shared" si="8"/>
      </c>
      <c r="J32" s="99">
        <f ca="1" t="shared" si="9"/>
      </c>
      <c r="K32" s="98">
        <f t="shared" si="10"/>
      </c>
      <c r="L32" s="98">
        <f t="shared" si="11"/>
      </c>
      <c r="M32" s="99">
        <f ca="1" t="shared" si="12"/>
      </c>
      <c r="N32" s="98">
        <f t="shared" si="13"/>
      </c>
      <c r="O32" s="100">
        <f t="shared" si="14"/>
      </c>
      <c r="Q32" s="134"/>
      <c r="R32" s="50"/>
      <c r="S32" s="51">
        <v>22</v>
      </c>
      <c r="T32" s="130">
        <f t="shared" si="16"/>
        <v>0.0002923084372142428</v>
      </c>
      <c r="U32" s="131">
        <f>IF(Tech!D32="","",mlmx(Tech!D32,+SeSum))</f>
        <v>0.00026112398268861374</v>
      </c>
      <c r="V32" s="131">
        <f>IF(Tech!E32="","",mlmx(Tech!E32,+SeSum))</f>
        <v>0.0021870257804236194</v>
      </c>
      <c r="W32" s="131">
        <f>IF(Tech!F32="","",mlmx(Tech!F32,+SeSum))</f>
        <v>0.013217844987022945</v>
      </c>
      <c r="X32" s="131">
        <f>IF(Tech!G32="","",mlmx(Tech!G32,+SeSum))</f>
        <v>0.9840416968126506</v>
      </c>
      <c r="Y32" s="131">
        <f>IF(Tech!H32="","",mlmx(Tech!H32,+SeSum))</f>
      </c>
      <c r="Z32" s="131">
        <f>IF(Tech!I32="","",mlmx(Tech!I32,+SeSum))</f>
      </c>
      <c r="AA32" s="131">
        <f>IF(Tech!J32="","",mlmx(Tech!J32,+SeSum))</f>
      </c>
      <c r="AB32" s="131">
        <f>IF(Tech!K32="","",mlmx(Tech!K32,+SeSum))</f>
      </c>
      <c r="AC32" s="132">
        <f>IF(Tech!L32="","",mlmx(Tech!L32,+SeSum))</f>
      </c>
      <c r="AE32" s="105">
        <f t="shared" si="0"/>
      </c>
      <c r="AF32" s="106">
        <f t="shared" si="1"/>
      </c>
    </row>
    <row r="33" spans="2:32" ht="12.75">
      <c r="B33" s="97">
        <v>33</v>
      </c>
      <c r="C33" s="246">
        <f t="shared" si="2"/>
      </c>
      <c r="D33" s="98">
        <f ca="1" t="shared" si="3"/>
      </c>
      <c r="E33" s="98">
        <f t="shared" si="4"/>
      </c>
      <c r="F33" s="98">
        <f t="shared" si="5"/>
      </c>
      <c r="G33" s="99">
        <f ca="1" t="shared" si="6"/>
      </c>
      <c r="H33" s="98">
        <f t="shared" si="7"/>
      </c>
      <c r="I33" s="98">
        <f t="shared" si="8"/>
      </c>
      <c r="J33" s="99">
        <f ca="1" t="shared" si="9"/>
      </c>
      <c r="K33" s="98">
        <f t="shared" si="10"/>
      </c>
      <c r="L33" s="98">
        <f t="shared" si="11"/>
      </c>
      <c r="M33" s="99">
        <f ca="1" t="shared" si="12"/>
      </c>
      <c r="N33" s="98">
        <f t="shared" si="13"/>
      </c>
      <c r="O33" s="100">
        <f t="shared" si="14"/>
      </c>
      <c r="Q33" s="129"/>
      <c r="R33" s="47"/>
      <c r="S33" s="45">
        <v>0</v>
      </c>
      <c r="T33" s="127">
        <f t="shared" si="16"/>
        <v>0.13624877576663302</v>
      </c>
      <c r="U33" s="98">
        <f>IF(Tech!D33="","",mlmx(Tech!D33,+SeSum))</f>
        <v>0.26780459161360637</v>
      </c>
      <c r="V33" s="98">
        <f>IF(Tech!E33="","",mlmx(Tech!E33,+SeSum))</f>
        <v>0.25063105533032415</v>
      </c>
      <c r="W33" s="98">
        <f>IF(Tech!F33="","",mlmx(Tech!F33,+SeSum))</f>
        <v>0.13056163361351864</v>
      </c>
      <c r="X33" s="98">
        <f>IF(Tech!G33="","",mlmx(Tech!G33,+SeSum))</f>
        <v>0.21475394367591788</v>
      </c>
      <c r="Y33" s="98">
        <f>IF(Tech!H33="","",mlmx(Tech!H33,+SeSum))</f>
      </c>
      <c r="Z33" s="98">
        <f>IF(Tech!I33="","",mlmx(Tech!I33,+SeSum))</f>
      </c>
      <c r="AA33" s="98">
        <f>IF(Tech!J33="","",mlmx(Tech!J33,+SeSum))</f>
      </c>
      <c r="AB33" s="98">
        <f>IF(Tech!K33="","",mlmx(Tech!K33,+SeSum))</f>
      </c>
      <c r="AC33" s="100">
        <f>IF(Tech!L33="","",mlmx(Tech!L33,+SeSum))</f>
      </c>
      <c r="AE33" s="105">
        <f t="shared" si="0"/>
      </c>
      <c r="AF33" s="106">
        <f t="shared" si="1"/>
      </c>
    </row>
    <row r="34" spans="2:32" ht="12.75">
      <c r="B34" s="97">
        <v>34</v>
      </c>
      <c r="C34" s="246">
        <f t="shared" si="2"/>
      </c>
      <c r="D34" s="98">
        <f ca="1" t="shared" si="3"/>
      </c>
      <c r="E34" s="98">
        <f t="shared" si="4"/>
      </c>
      <c r="F34" s="98">
        <f t="shared" si="5"/>
      </c>
      <c r="G34" s="99">
        <f ca="1" t="shared" si="6"/>
      </c>
      <c r="H34" s="98">
        <f t="shared" si="7"/>
      </c>
      <c r="I34" s="98">
        <f t="shared" si="8"/>
      </c>
      <c r="J34" s="99">
        <f ca="1" t="shared" si="9"/>
      </c>
      <c r="K34" s="98">
        <f t="shared" si="10"/>
      </c>
      <c r="L34" s="98">
        <f t="shared" si="11"/>
      </c>
      <c r="M34" s="99">
        <f ca="1" t="shared" si="12"/>
      </c>
      <c r="N34" s="98">
        <f t="shared" si="13"/>
      </c>
      <c r="O34" s="100">
        <f t="shared" si="14"/>
      </c>
      <c r="Q34" s="126"/>
      <c r="R34" s="44"/>
      <c r="S34" s="45">
        <v>5</v>
      </c>
      <c r="T34" s="127">
        <f t="shared" si="16"/>
        <v>0.1227283846034556</v>
      </c>
      <c r="U34" s="98">
        <f>IF(Tech!D34="","",mlmx(Tech!D34,+SeSum))</f>
        <v>0.2469917138286746</v>
      </c>
      <c r="V34" s="98">
        <f>IF(Tech!E34="","",mlmx(Tech!E34,+SeSum))</f>
        <v>0.2592757504033801</v>
      </c>
      <c r="W34" s="98">
        <f>IF(Tech!F34="","",mlmx(Tech!F34,+SeSum))</f>
        <v>0.13981443980935265</v>
      </c>
      <c r="X34" s="98">
        <f>IF(Tech!G34="","",mlmx(Tech!G34,+SeSum))</f>
        <v>0.23118971135513702</v>
      </c>
      <c r="Y34" s="98">
        <f>IF(Tech!H34="","",mlmx(Tech!H34,+SeSum))</f>
      </c>
      <c r="Z34" s="98">
        <f>IF(Tech!I34="","",mlmx(Tech!I34,+SeSum))</f>
      </c>
      <c r="AA34" s="98">
        <f>IF(Tech!J34="","",mlmx(Tech!J34,+SeSum))</f>
      </c>
      <c r="AB34" s="98">
        <f>IF(Tech!K34="","",mlmx(Tech!K34,+SeSum))</f>
      </c>
      <c r="AC34" s="100">
        <f>IF(Tech!L34="","",mlmx(Tech!L34,+SeSum))</f>
      </c>
      <c r="AE34" s="105">
        <f t="shared" si="0"/>
      </c>
      <c r="AF34" s="106">
        <f t="shared" si="1"/>
      </c>
    </row>
    <row r="35" spans="2:32" ht="12.75">
      <c r="B35" s="97">
        <v>35</v>
      </c>
      <c r="C35" s="246">
        <f t="shared" si="2"/>
      </c>
      <c r="D35" s="98">
        <f ca="1" t="shared" si="3"/>
      </c>
      <c r="E35" s="98">
        <f t="shared" si="4"/>
      </c>
      <c r="F35" s="98">
        <f t="shared" si="5"/>
      </c>
      <c r="G35" s="99">
        <f ca="1" t="shared" si="6"/>
      </c>
      <c r="H35" s="98">
        <f t="shared" si="7"/>
      </c>
      <c r="I35" s="98">
        <f t="shared" si="8"/>
      </c>
      <c r="J35" s="99">
        <f ca="1" t="shared" si="9"/>
      </c>
      <c r="K35" s="98">
        <f t="shared" si="10"/>
      </c>
      <c r="L35" s="98">
        <f t="shared" si="11"/>
      </c>
      <c r="M35" s="99">
        <f ca="1" t="shared" si="12"/>
      </c>
      <c r="N35" s="98">
        <f t="shared" si="13"/>
      </c>
      <c r="O35" s="100">
        <f t="shared" si="14"/>
      </c>
      <c r="Q35" s="128" t="s">
        <v>69</v>
      </c>
      <c r="R35" s="46" t="s">
        <v>88</v>
      </c>
      <c r="S35" s="45">
        <v>10</v>
      </c>
      <c r="T35" s="127">
        <f t="shared" si="16"/>
        <v>0.10998095618115866</v>
      </c>
      <c r="U35" s="98">
        <f>IF(Tech!D35="","",mlmx(Tech!D35,+SeSum))</f>
        <v>0.22662447572442773</v>
      </c>
      <c r="V35" s="98">
        <f>IF(Tech!E35="","",mlmx(Tech!E35,+SeSum))</f>
        <v>0.2668388012830442</v>
      </c>
      <c r="W35" s="98">
        <f>IF(Tech!F35="","",mlmx(Tech!F35,+SeSum))</f>
        <v>0.14895275578091932</v>
      </c>
      <c r="X35" s="98">
        <f>IF(Tech!G35="","",mlmx(Tech!G35,+SeSum))</f>
        <v>0.24760301103045018</v>
      </c>
      <c r="Y35" s="98">
        <f>IF(Tech!H35="","",mlmx(Tech!H35,+SeSum))</f>
      </c>
      <c r="Z35" s="98">
        <f>IF(Tech!I35="","",mlmx(Tech!I35,+SeSum))</f>
      </c>
      <c r="AA35" s="98">
        <f>IF(Tech!J35="","",mlmx(Tech!J35,+SeSum))</f>
      </c>
      <c r="AB35" s="98">
        <f>IF(Tech!K35="","",mlmx(Tech!K35,+SeSum))</f>
      </c>
      <c r="AC35" s="100">
        <f>IF(Tech!L35="","",mlmx(Tech!L35,+SeSum))</f>
      </c>
      <c r="AE35" s="105">
        <f t="shared" si="0"/>
      </c>
      <c r="AF35" s="106">
        <f t="shared" si="1"/>
      </c>
    </row>
    <row r="36" spans="2:32" ht="12.75">
      <c r="B36" s="97">
        <v>36</v>
      </c>
      <c r="C36" s="246">
        <f t="shared" si="2"/>
      </c>
      <c r="D36" s="98">
        <f ca="1" t="shared" si="3"/>
      </c>
      <c r="E36" s="98">
        <f t="shared" si="4"/>
      </c>
      <c r="F36" s="98">
        <f t="shared" si="5"/>
      </c>
      <c r="G36" s="99">
        <f ca="1" t="shared" si="6"/>
      </c>
      <c r="H36" s="98">
        <f t="shared" si="7"/>
      </c>
      <c r="I36" s="98">
        <f t="shared" si="8"/>
      </c>
      <c r="J36" s="99">
        <f ca="1" t="shared" si="9"/>
      </c>
      <c r="K36" s="98">
        <f t="shared" si="10"/>
      </c>
      <c r="L36" s="98">
        <f t="shared" si="11"/>
      </c>
      <c r="M36" s="99">
        <f ca="1" t="shared" si="12"/>
      </c>
      <c r="N36" s="98">
        <f t="shared" si="13"/>
      </c>
      <c r="O36" s="100">
        <f t="shared" si="14"/>
      </c>
      <c r="Q36" s="129"/>
      <c r="R36" s="47"/>
      <c r="S36" s="45">
        <v>20</v>
      </c>
      <c r="T36" s="127">
        <f t="shared" si="16"/>
        <v>0.08703155019383364</v>
      </c>
      <c r="U36" s="98">
        <f>IF(Tech!D36="","",mlmx(Tech!D36,+SeSum))</f>
        <v>0.18800523897097887</v>
      </c>
      <c r="V36" s="98">
        <f>IF(Tech!E36="","",mlmx(Tech!E36,+SeSum))</f>
        <v>0.27850783984001737</v>
      </c>
      <c r="W36" s="98">
        <f>IF(Tech!F36="","",mlmx(Tech!F36,+SeSum))</f>
        <v>0.16659265714684374</v>
      </c>
      <c r="X36" s="98">
        <f>IF(Tech!G36="","",mlmx(Tech!G36,+SeSum))</f>
        <v>0.2798627138483263</v>
      </c>
      <c r="Y36" s="98">
        <f>IF(Tech!H36="","",mlmx(Tech!H36,+SeSum))</f>
      </c>
      <c r="Z36" s="98">
        <f>IF(Tech!I36="","",mlmx(Tech!I36,+SeSum))</f>
      </c>
      <c r="AA36" s="98">
        <f>IF(Tech!J36="","",mlmx(Tech!J36,+SeSum))</f>
      </c>
      <c r="AB36" s="98">
        <f>IF(Tech!K36="","",mlmx(Tech!K36,+SeSum))</f>
      </c>
      <c r="AC36" s="100">
        <f>IF(Tech!L36="","",mlmx(Tech!L36,+SeSum))</f>
      </c>
      <c r="AE36" s="105">
        <f t="shared" si="0"/>
      </c>
      <c r="AF36" s="106">
        <f t="shared" si="1"/>
      </c>
    </row>
    <row r="37" spans="2:32" ht="12.75">
      <c r="B37" s="97">
        <v>37</v>
      </c>
      <c r="C37" s="246">
        <f t="shared" si="2"/>
      </c>
      <c r="D37" s="98">
        <f ca="1" t="shared" si="3"/>
      </c>
      <c r="E37" s="98">
        <f t="shared" si="4"/>
      </c>
      <c r="F37" s="98">
        <f t="shared" si="5"/>
      </c>
      <c r="G37" s="99">
        <f ca="1" t="shared" si="6"/>
      </c>
      <c r="H37" s="98">
        <f t="shared" si="7"/>
      </c>
      <c r="I37" s="98">
        <f t="shared" si="8"/>
      </c>
      <c r="J37" s="99">
        <f ca="1" t="shared" si="9"/>
      </c>
      <c r="K37" s="98">
        <f t="shared" si="10"/>
      </c>
      <c r="L37" s="98">
        <f t="shared" si="11"/>
      </c>
      <c r="M37" s="99">
        <f ca="1" t="shared" si="12"/>
      </c>
      <c r="N37" s="98">
        <f t="shared" si="13"/>
      </c>
      <c r="O37" s="100">
        <f t="shared" si="14"/>
      </c>
      <c r="Q37" s="135"/>
      <c r="R37" s="52"/>
      <c r="S37" s="53">
        <v>30</v>
      </c>
      <c r="T37" s="136">
        <f t="shared" si="16"/>
        <v>0.06764172491453167</v>
      </c>
      <c r="U37" s="110">
        <f>IF(Tech!D37="","",mlmx(Tech!D37,+SeSum))</f>
        <v>0.15318343971226928</v>
      </c>
      <c r="V37" s="110">
        <f>IF(Tech!E37="","",mlmx(Tech!E37,+SeSum))</f>
        <v>0.28549900257629574</v>
      </c>
      <c r="W37" s="110">
        <f>IF(Tech!F37="","",mlmx(Tech!F37,+SeSum))</f>
        <v>0.18299612546498464</v>
      </c>
      <c r="X37" s="110">
        <f>IF(Tech!G37="","",mlmx(Tech!G37,+SeSum))</f>
        <v>0.31067970733191874</v>
      </c>
      <c r="Y37" s="110">
        <f>IF(Tech!H37="","",mlmx(Tech!H37,+SeSum))</f>
      </c>
      <c r="Z37" s="110">
        <f>IF(Tech!I37="","",mlmx(Tech!I37,+SeSum))</f>
      </c>
      <c r="AA37" s="110">
        <f>IF(Tech!J37="","",mlmx(Tech!J37,+SeSum))</f>
      </c>
      <c r="AB37" s="110">
        <f>IF(Tech!K37="","",mlmx(Tech!K37,+SeSum))</f>
      </c>
      <c r="AC37" s="111">
        <f>IF(Tech!L37="","",mlmx(Tech!L37,+SeSum))</f>
      </c>
      <c r="AE37" s="105">
        <f t="shared" si="0"/>
      </c>
      <c r="AF37" s="106">
        <f t="shared" si="1"/>
      </c>
    </row>
    <row r="38" spans="2:32" ht="12.75">
      <c r="B38" s="97">
        <v>38</v>
      </c>
      <c r="C38" s="246">
        <f t="shared" si="2"/>
      </c>
      <c r="D38" s="98">
        <f ca="1" t="shared" si="3"/>
      </c>
      <c r="E38" s="98">
        <f t="shared" si="4"/>
      </c>
      <c r="F38" s="98">
        <f t="shared" si="5"/>
      </c>
      <c r="G38" s="99">
        <f ca="1" t="shared" si="6"/>
      </c>
      <c r="H38" s="98">
        <f t="shared" si="7"/>
      </c>
      <c r="I38" s="98">
        <f t="shared" si="8"/>
      </c>
      <c r="J38" s="99">
        <f ca="1" t="shared" si="9"/>
      </c>
      <c r="K38" s="98">
        <f t="shared" si="10"/>
      </c>
      <c r="L38" s="98">
        <f t="shared" si="11"/>
      </c>
      <c r="M38" s="99">
        <f ca="1" t="shared" si="12"/>
      </c>
      <c r="N38" s="98">
        <f t="shared" si="13"/>
      </c>
      <c r="O38" s="100">
        <f t="shared" si="14"/>
      </c>
      <c r="AE38" s="105">
        <f t="shared" si="0"/>
      </c>
      <c r="AF38" s="106">
        <f t="shared" si="1"/>
      </c>
    </row>
    <row r="39" spans="2:32" ht="12.75">
      <c r="B39" s="97">
        <v>39</v>
      </c>
      <c r="C39" s="246">
        <f t="shared" si="2"/>
      </c>
      <c r="D39" s="98">
        <f ca="1" t="shared" si="3"/>
      </c>
      <c r="E39" s="98">
        <f t="shared" si="4"/>
      </c>
      <c r="F39" s="98">
        <f t="shared" si="5"/>
      </c>
      <c r="G39" s="99">
        <f ca="1" t="shared" si="6"/>
      </c>
      <c r="H39" s="98">
        <f t="shared" si="7"/>
      </c>
      <c r="I39" s="98">
        <f t="shared" si="8"/>
      </c>
      <c r="J39" s="99">
        <f ca="1" t="shared" si="9"/>
      </c>
      <c r="K39" s="98">
        <f t="shared" si="10"/>
      </c>
      <c r="L39" s="98">
        <f t="shared" si="11"/>
      </c>
      <c r="M39" s="99">
        <f ca="1" t="shared" si="12"/>
      </c>
      <c r="N39" s="98">
        <f t="shared" si="13"/>
      </c>
      <c r="O39" s="100">
        <f t="shared" si="14"/>
      </c>
      <c r="AE39" s="105">
        <f t="shared" si="0"/>
      </c>
      <c r="AF39" s="106">
        <f t="shared" si="1"/>
      </c>
    </row>
    <row r="40" spans="2:32" ht="12.75">
      <c r="B40" s="97">
        <v>40</v>
      </c>
      <c r="C40" s="246">
        <f t="shared" si="2"/>
      </c>
      <c r="D40" s="98">
        <f ca="1" t="shared" si="3"/>
      </c>
      <c r="E40" s="98">
        <f t="shared" si="4"/>
      </c>
      <c r="F40" s="98">
        <f t="shared" si="5"/>
      </c>
      <c r="G40" s="99">
        <f ca="1" t="shared" si="6"/>
      </c>
      <c r="H40" s="98">
        <f t="shared" si="7"/>
      </c>
      <c r="I40" s="98">
        <f t="shared" si="8"/>
      </c>
      <c r="J40" s="99">
        <f ca="1" t="shared" si="9"/>
      </c>
      <c r="K40" s="98">
        <f t="shared" si="10"/>
      </c>
      <c r="L40" s="98">
        <f t="shared" si="11"/>
      </c>
      <c r="M40" s="99">
        <f ca="1" t="shared" si="12"/>
      </c>
      <c r="N40" s="98">
        <f t="shared" si="13"/>
      </c>
      <c r="O40" s="100">
        <f t="shared" si="14"/>
      </c>
      <c r="AE40" s="105">
        <f t="shared" si="0"/>
      </c>
      <c r="AF40" s="106">
        <f t="shared" si="1"/>
      </c>
    </row>
    <row r="41" spans="2:32" ht="12.75">
      <c r="B41" s="97">
        <v>41</v>
      </c>
      <c r="C41" s="246">
        <f t="shared" si="2"/>
      </c>
      <c r="D41" s="98">
        <f ca="1" t="shared" si="3"/>
      </c>
      <c r="E41" s="98">
        <f t="shared" si="4"/>
      </c>
      <c r="F41" s="98">
        <f t="shared" si="5"/>
      </c>
      <c r="G41" s="99">
        <f ca="1" t="shared" si="6"/>
      </c>
      <c r="H41" s="98">
        <f t="shared" si="7"/>
      </c>
      <c r="I41" s="98">
        <f t="shared" si="8"/>
      </c>
      <c r="J41" s="99">
        <f ca="1" t="shared" si="9"/>
      </c>
      <c r="K41" s="98">
        <f t="shared" si="10"/>
      </c>
      <c r="L41" s="98">
        <f t="shared" si="11"/>
      </c>
      <c r="M41" s="99">
        <f ca="1" t="shared" si="12"/>
      </c>
      <c r="N41" s="98">
        <f t="shared" si="13"/>
      </c>
      <c r="O41" s="100">
        <f t="shared" si="14"/>
      </c>
      <c r="AE41" s="105">
        <f t="shared" si="0"/>
      </c>
      <c r="AF41" s="106">
        <f t="shared" si="1"/>
      </c>
    </row>
    <row r="42" spans="2:32" ht="12.75">
      <c r="B42" s="97">
        <v>42</v>
      </c>
      <c r="C42" s="246">
        <f t="shared" si="2"/>
      </c>
      <c r="D42" s="98">
        <f ca="1" t="shared" si="3"/>
      </c>
      <c r="E42" s="98">
        <f t="shared" si="4"/>
      </c>
      <c r="F42" s="98">
        <f t="shared" si="5"/>
      </c>
      <c r="G42" s="99">
        <f ca="1" t="shared" si="6"/>
      </c>
      <c r="H42" s="98">
        <f t="shared" si="7"/>
      </c>
      <c r="I42" s="98">
        <f t="shared" si="8"/>
      </c>
      <c r="J42" s="99">
        <f ca="1" t="shared" si="9"/>
      </c>
      <c r="K42" s="98">
        <f t="shared" si="10"/>
      </c>
      <c r="L42" s="98">
        <f t="shared" si="11"/>
      </c>
      <c r="M42" s="99">
        <f ca="1" t="shared" si="12"/>
      </c>
      <c r="N42" s="98">
        <f t="shared" si="13"/>
      </c>
      <c r="O42" s="100">
        <f t="shared" si="14"/>
      </c>
      <c r="AE42" s="105">
        <f t="shared" si="0"/>
      </c>
      <c r="AF42" s="106">
        <f t="shared" si="1"/>
      </c>
    </row>
    <row r="43" spans="2:32" ht="12.75">
      <c r="B43" s="97">
        <v>43</v>
      </c>
      <c r="C43" s="246">
        <f t="shared" si="2"/>
      </c>
      <c r="D43" s="98">
        <f ca="1" t="shared" si="3"/>
      </c>
      <c r="E43" s="98">
        <f t="shared" si="4"/>
      </c>
      <c r="F43" s="98">
        <f t="shared" si="5"/>
      </c>
      <c r="G43" s="99">
        <f ca="1" t="shared" si="6"/>
      </c>
      <c r="H43" s="98">
        <f t="shared" si="7"/>
      </c>
      <c r="I43" s="98">
        <f t="shared" si="8"/>
      </c>
      <c r="J43" s="99">
        <f ca="1" t="shared" si="9"/>
      </c>
      <c r="K43" s="98">
        <f t="shared" si="10"/>
      </c>
      <c r="L43" s="98">
        <f t="shared" si="11"/>
      </c>
      <c r="M43" s="99">
        <f ca="1" t="shared" si="12"/>
      </c>
      <c r="N43" s="98">
        <f t="shared" si="13"/>
      </c>
      <c r="O43" s="100">
        <f t="shared" si="14"/>
      </c>
      <c r="AE43" s="105">
        <f t="shared" si="0"/>
      </c>
      <c r="AF43" s="106">
        <f t="shared" si="1"/>
      </c>
    </row>
    <row r="44" spans="2:32" ht="12.75">
      <c r="B44" s="97">
        <v>44</v>
      </c>
      <c r="C44" s="246">
        <f t="shared" si="2"/>
      </c>
      <c r="D44" s="98">
        <f ca="1" t="shared" si="3"/>
      </c>
      <c r="E44" s="98">
        <f t="shared" si="4"/>
      </c>
      <c r="F44" s="98">
        <f t="shared" si="5"/>
      </c>
      <c r="G44" s="99">
        <f ca="1" t="shared" si="6"/>
      </c>
      <c r="H44" s="98">
        <f t="shared" si="7"/>
      </c>
      <c r="I44" s="98">
        <f t="shared" si="8"/>
      </c>
      <c r="J44" s="99">
        <f ca="1" t="shared" si="9"/>
      </c>
      <c r="K44" s="98">
        <f t="shared" si="10"/>
      </c>
      <c r="L44" s="98">
        <f t="shared" si="11"/>
      </c>
      <c r="M44" s="99">
        <f ca="1" t="shared" si="12"/>
      </c>
      <c r="N44" s="98">
        <f t="shared" si="13"/>
      </c>
      <c r="O44" s="100">
        <f t="shared" si="14"/>
      </c>
      <c r="AE44" s="105">
        <f t="shared" si="0"/>
      </c>
      <c r="AF44" s="106">
        <f t="shared" si="1"/>
      </c>
    </row>
    <row r="45" spans="2:32" ht="12.75">
      <c r="B45" s="97">
        <v>45</v>
      </c>
      <c r="C45" s="246">
        <f t="shared" si="2"/>
      </c>
      <c r="D45" s="98">
        <f ca="1" t="shared" si="3"/>
      </c>
      <c r="E45" s="98">
        <f t="shared" si="4"/>
      </c>
      <c r="F45" s="98">
        <f t="shared" si="5"/>
      </c>
      <c r="G45" s="99">
        <f ca="1" t="shared" si="6"/>
      </c>
      <c r="H45" s="98">
        <f t="shared" si="7"/>
      </c>
      <c r="I45" s="98">
        <f t="shared" si="8"/>
      </c>
      <c r="J45" s="99">
        <f ca="1" t="shared" si="9"/>
      </c>
      <c r="K45" s="98">
        <f t="shared" si="10"/>
      </c>
      <c r="L45" s="98">
        <f t="shared" si="11"/>
      </c>
      <c r="M45" s="99">
        <f ca="1" t="shared" si="12"/>
      </c>
      <c r="N45" s="98">
        <f t="shared" si="13"/>
      </c>
      <c r="O45" s="100">
        <f t="shared" si="14"/>
      </c>
      <c r="AE45" s="105">
        <f t="shared" si="0"/>
      </c>
      <c r="AF45" s="106">
        <f t="shared" si="1"/>
      </c>
    </row>
    <row r="46" spans="2:32" ht="12.75">
      <c r="B46" s="97">
        <v>46</v>
      </c>
      <c r="C46" s="246">
        <f t="shared" si="2"/>
      </c>
      <c r="D46" s="98">
        <f ca="1" t="shared" si="3"/>
      </c>
      <c r="E46" s="98">
        <f t="shared" si="4"/>
      </c>
      <c r="F46" s="98">
        <f t="shared" si="5"/>
      </c>
      <c r="G46" s="99">
        <f ca="1" t="shared" si="6"/>
      </c>
      <c r="H46" s="98">
        <f t="shared" si="7"/>
      </c>
      <c r="I46" s="98">
        <f t="shared" si="8"/>
      </c>
      <c r="J46" s="99">
        <f ca="1" t="shared" si="9"/>
      </c>
      <c r="K46" s="98">
        <f t="shared" si="10"/>
      </c>
      <c r="L46" s="98">
        <f t="shared" si="11"/>
      </c>
      <c r="M46" s="99">
        <f ca="1" t="shared" si="12"/>
      </c>
      <c r="N46" s="98">
        <f t="shared" si="13"/>
      </c>
      <c r="O46" s="100">
        <f t="shared" si="14"/>
      </c>
      <c r="AE46" s="105">
        <f t="shared" si="0"/>
      </c>
      <c r="AF46" s="106">
        <f t="shared" si="1"/>
      </c>
    </row>
    <row r="47" spans="2:32" ht="12.75">
      <c r="B47" s="97">
        <v>47</v>
      </c>
      <c r="C47" s="246">
        <f t="shared" si="2"/>
      </c>
      <c r="D47" s="98">
        <f ca="1" t="shared" si="3"/>
      </c>
      <c r="E47" s="98">
        <f t="shared" si="4"/>
      </c>
      <c r="F47" s="98">
        <f t="shared" si="5"/>
      </c>
      <c r="G47" s="99">
        <f ca="1" t="shared" si="6"/>
      </c>
      <c r="H47" s="98">
        <f t="shared" si="7"/>
      </c>
      <c r="I47" s="98">
        <f t="shared" si="8"/>
      </c>
      <c r="J47" s="99">
        <f ca="1" t="shared" si="9"/>
      </c>
      <c r="K47" s="98">
        <f t="shared" si="10"/>
      </c>
      <c r="L47" s="98">
        <f t="shared" si="11"/>
      </c>
      <c r="M47" s="99">
        <f ca="1" t="shared" si="12"/>
      </c>
      <c r="N47" s="98">
        <f t="shared" si="13"/>
      </c>
      <c r="O47" s="100">
        <f t="shared" si="14"/>
      </c>
      <c r="AE47" s="105">
        <f t="shared" si="0"/>
      </c>
      <c r="AF47" s="106">
        <f t="shared" si="1"/>
      </c>
    </row>
    <row r="48" spans="2:32" ht="12.75">
      <c r="B48" s="97">
        <v>48</v>
      </c>
      <c r="C48" s="246">
        <f t="shared" si="2"/>
      </c>
      <c r="D48" s="98">
        <f ca="1" t="shared" si="3"/>
      </c>
      <c r="E48" s="98">
        <f t="shared" si="4"/>
      </c>
      <c r="F48" s="98">
        <f t="shared" si="5"/>
      </c>
      <c r="G48" s="99">
        <f ca="1" t="shared" si="6"/>
      </c>
      <c r="H48" s="98">
        <f t="shared" si="7"/>
      </c>
      <c r="I48" s="98">
        <f t="shared" si="8"/>
      </c>
      <c r="J48" s="99">
        <f ca="1" t="shared" si="9"/>
      </c>
      <c r="K48" s="98">
        <f t="shared" si="10"/>
      </c>
      <c r="L48" s="98">
        <f t="shared" si="11"/>
      </c>
      <c r="M48" s="99">
        <f ca="1" t="shared" si="12"/>
      </c>
      <c r="N48" s="98">
        <f t="shared" si="13"/>
      </c>
      <c r="O48" s="100">
        <f t="shared" si="14"/>
      </c>
      <c r="AE48" s="105">
        <f t="shared" si="0"/>
      </c>
      <c r="AF48" s="106">
        <f t="shared" si="1"/>
      </c>
    </row>
    <row r="49" spans="2:32" ht="12.75">
      <c r="B49" s="97">
        <v>49</v>
      </c>
      <c r="C49" s="246">
        <f t="shared" si="2"/>
      </c>
      <c r="D49" s="98">
        <f ca="1" t="shared" si="3"/>
      </c>
      <c r="E49" s="98">
        <f t="shared" si="4"/>
      </c>
      <c r="F49" s="98">
        <f t="shared" si="5"/>
      </c>
      <c r="G49" s="99">
        <f ca="1" t="shared" si="6"/>
      </c>
      <c r="H49" s="98">
        <f t="shared" si="7"/>
      </c>
      <c r="I49" s="98">
        <f t="shared" si="8"/>
      </c>
      <c r="J49" s="99">
        <f ca="1" t="shared" si="9"/>
      </c>
      <c r="K49" s="98">
        <f t="shared" si="10"/>
      </c>
      <c r="L49" s="98">
        <f t="shared" si="11"/>
      </c>
      <c r="M49" s="99">
        <f ca="1" t="shared" si="12"/>
      </c>
      <c r="N49" s="98">
        <f t="shared" si="13"/>
      </c>
      <c r="O49" s="100">
        <f t="shared" si="14"/>
      </c>
      <c r="AE49" s="105">
        <f t="shared" si="0"/>
      </c>
      <c r="AF49" s="106">
        <f t="shared" si="1"/>
      </c>
    </row>
    <row r="50" spans="2:32" ht="12.75">
      <c r="B50" s="97">
        <v>50</v>
      </c>
      <c r="C50" s="246">
        <f t="shared" si="2"/>
      </c>
      <c r="D50" s="98">
        <f ca="1" t="shared" si="3"/>
      </c>
      <c r="E50" s="98">
        <f t="shared" si="4"/>
      </c>
      <c r="F50" s="98">
        <f t="shared" si="5"/>
      </c>
      <c r="G50" s="99">
        <f ca="1" t="shared" si="6"/>
      </c>
      <c r="H50" s="98">
        <f t="shared" si="7"/>
      </c>
      <c r="I50" s="98">
        <f t="shared" si="8"/>
      </c>
      <c r="J50" s="99">
        <f ca="1" t="shared" si="9"/>
      </c>
      <c r="K50" s="98">
        <f t="shared" si="10"/>
      </c>
      <c r="L50" s="98">
        <f t="shared" si="11"/>
      </c>
      <c r="M50" s="99">
        <f ca="1" t="shared" si="12"/>
      </c>
      <c r="N50" s="98">
        <f t="shared" si="13"/>
      </c>
      <c r="O50" s="100">
        <f t="shared" si="14"/>
      </c>
      <c r="AE50" s="105">
        <f t="shared" si="0"/>
      </c>
      <c r="AF50" s="106">
        <f t="shared" si="1"/>
      </c>
    </row>
    <row r="51" spans="2:32" ht="12.75">
      <c r="B51" s="97">
        <v>51</v>
      </c>
      <c r="C51" s="246">
        <f t="shared" si="2"/>
      </c>
      <c r="D51" s="98">
        <f ca="1" t="shared" si="3"/>
      </c>
      <c r="E51" s="98">
        <f t="shared" si="4"/>
      </c>
      <c r="F51" s="98">
        <f t="shared" si="5"/>
      </c>
      <c r="G51" s="99">
        <f ca="1" t="shared" si="6"/>
      </c>
      <c r="H51" s="98">
        <f t="shared" si="7"/>
      </c>
      <c r="I51" s="98">
        <f t="shared" si="8"/>
      </c>
      <c r="J51" s="99">
        <f ca="1" t="shared" si="9"/>
      </c>
      <c r="K51" s="98">
        <f t="shared" si="10"/>
      </c>
      <c r="L51" s="98">
        <f t="shared" si="11"/>
      </c>
      <c r="M51" s="99">
        <f ca="1" t="shared" si="12"/>
      </c>
      <c r="N51" s="98">
        <f t="shared" si="13"/>
      </c>
      <c r="O51" s="100">
        <f t="shared" si="14"/>
      </c>
      <c r="AE51" s="105">
        <f t="shared" si="0"/>
      </c>
      <c r="AF51" s="106">
        <f t="shared" si="1"/>
      </c>
    </row>
    <row r="52" spans="2:32" ht="12.75">
      <c r="B52" s="97">
        <v>52</v>
      </c>
      <c r="C52" s="246">
        <f t="shared" si="2"/>
      </c>
      <c r="D52" s="98">
        <f ca="1" t="shared" si="3"/>
      </c>
      <c r="E52" s="98">
        <f t="shared" si="4"/>
      </c>
      <c r="F52" s="98">
        <f t="shared" si="5"/>
      </c>
      <c r="G52" s="99">
        <f ca="1" t="shared" si="6"/>
      </c>
      <c r="H52" s="98">
        <f t="shared" si="7"/>
      </c>
      <c r="I52" s="98">
        <f t="shared" si="8"/>
      </c>
      <c r="J52" s="99">
        <f ca="1" t="shared" si="9"/>
      </c>
      <c r="K52" s="98">
        <f t="shared" si="10"/>
      </c>
      <c r="L52" s="98">
        <f t="shared" si="11"/>
      </c>
      <c r="M52" s="99">
        <f ca="1" t="shared" si="12"/>
      </c>
      <c r="N52" s="98">
        <f t="shared" si="13"/>
      </c>
      <c r="O52" s="100">
        <f t="shared" si="14"/>
      </c>
      <c r="AE52" s="105">
        <f t="shared" si="0"/>
      </c>
      <c r="AF52" s="106">
        <f t="shared" si="1"/>
      </c>
    </row>
    <row r="53" spans="2:32" ht="12.75">
      <c r="B53" s="97">
        <v>53</v>
      </c>
      <c r="C53" s="246">
        <f t="shared" si="2"/>
      </c>
      <c r="D53" s="98">
        <f ca="1" t="shared" si="3"/>
      </c>
      <c r="E53" s="98">
        <f t="shared" si="4"/>
      </c>
      <c r="F53" s="98">
        <f t="shared" si="5"/>
      </c>
      <c r="G53" s="99">
        <f ca="1" t="shared" si="6"/>
      </c>
      <c r="H53" s="98">
        <f t="shared" si="7"/>
      </c>
      <c r="I53" s="98">
        <f t="shared" si="8"/>
      </c>
      <c r="J53" s="99">
        <f ca="1" t="shared" si="9"/>
      </c>
      <c r="K53" s="98">
        <f t="shared" si="10"/>
      </c>
      <c r="L53" s="98">
        <f t="shared" si="11"/>
      </c>
      <c r="M53" s="99">
        <f ca="1" t="shared" si="12"/>
      </c>
      <c r="N53" s="98">
        <f t="shared" si="13"/>
      </c>
      <c r="O53" s="100">
        <f t="shared" si="14"/>
      </c>
      <c r="AE53" s="105">
        <f t="shared" si="0"/>
      </c>
      <c r="AF53" s="106">
        <f t="shared" si="1"/>
      </c>
    </row>
    <row r="54" spans="2:32" ht="12.75">
      <c r="B54" s="97">
        <v>54</v>
      </c>
      <c r="C54" s="246">
        <f t="shared" si="2"/>
      </c>
      <c r="D54" s="98">
        <f ca="1" t="shared" si="3"/>
      </c>
      <c r="E54" s="98">
        <f t="shared" si="4"/>
      </c>
      <c r="F54" s="98">
        <f t="shared" si="5"/>
      </c>
      <c r="G54" s="99">
        <f ca="1" t="shared" si="6"/>
      </c>
      <c r="H54" s="98">
        <f t="shared" si="7"/>
      </c>
      <c r="I54" s="98">
        <f t="shared" si="8"/>
      </c>
      <c r="J54" s="99">
        <f ca="1" t="shared" si="9"/>
      </c>
      <c r="K54" s="98">
        <f t="shared" si="10"/>
      </c>
      <c r="L54" s="98">
        <f t="shared" si="11"/>
      </c>
      <c r="M54" s="99">
        <f ca="1" t="shared" si="12"/>
      </c>
      <c r="N54" s="98">
        <f t="shared" si="13"/>
      </c>
      <c r="O54" s="100">
        <f t="shared" si="14"/>
      </c>
      <c r="AE54" s="105">
        <f t="shared" si="0"/>
      </c>
      <c r="AF54" s="106">
        <f t="shared" si="1"/>
      </c>
    </row>
    <row r="55" spans="2:32" ht="12.75">
      <c r="B55" s="97">
        <v>55</v>
      </c>
      <c r="C55" s="246">
        <f t="shared" si="2"/>
      </c>
      <c r="D55" s="98">
        <f ca="1" t="shared" si="3"/>
      </c>
      <c r="E55" s="98">
        <f t="shared" si="4"/>
      </c>
      <c r="F55" s="98">
        <f t="shared" si="5"/>
      </c>
      <c r="G55" s="99">
        <f ca="1" t="shared" si="6"/>
      </c>
      <c r="H55" s="98">
        <f t="shared" si="7"/>
      </c>
      <c r="I55" s="98">
        <f t="shared" si="8"/>
      </c>
      <c r="J55" s="99">
        <f ca="1" t="shared" si="9"/>
      </c>
      <c r="K55" s="98">
        <f t="shared" si="10"/>
      </c>
      <c r="L55" s="98">
        <f t="shared" si="11"/>
      </c>
      <c r="M55" s="99">
        <f ca="1" t="shared" si="12"/>
      </c>
      <c r="N55" s="98">
        <f t="shared" si="13"/>
      </c>
      <c r="O55" s="100">
        <f t="shared" si="14"/>
      </c>
      <c r="AE55" s="105">
        <f t="shared" si="0"/>
      </c>
      <c r="AF55" s="106">
        <f t="shared" si="1"/>
      </c>
    </row>
    <row r="56" spans="2:32" ht="12.75">
      <c r="B56" s="97">
        <v>56</v>
      </c>
      <c r="C56" s="246">
        <f t="shared" si="2"/>
      </c>
      <c r="D56" s="98">
        <f ca="1" t="shared" si="3"/>
      </c>
      <c r="E56" s="98">
        <f t="shared" si="4"/>
      </c>
      <c r="F56" s="98">
        <f t="shared" si="5"/>
      </c>
      <c r="G56" s="99">
        <f ca="1" t="shared" si="6"/>
      </c>
      <c r="H56" s="98">
        <f t="shared" si="7"/>
      </c>
      <c r="I56" s="98">
        <f t="shared" si="8"/>
      </c>
      <c r="J56" s="99">
        <f ca="1" t="shared" si="9"/>
      </c>
      <c r="K56" s="98">
        <f t="shared" si="10"/>
      </c>
      <c r="L56" s="98">
        <f t="shared" si="11"/>
      </c>
      <c r="M56" s="99">
        <f ca="1" t="shared" si="12"/>
      </c>
      <c r="N56" s="98">
        <f t="shared" si="13"/>
      </c>
      <c r="O56" s="100">
        <f t="shared" si="14"/>
      </c>
      <c r="AE56" s="105">
        <f t="shared" si="0"/>
      </c>
      <c r="AF56" s="106">
        <f t="shared" si="1"/>
      </c>
    </row>
    <row r="57" spans="2:32" ht="12.75">
      <c r="B57" s="97">
        <v>57</v>
      </c>
      <c r="C57" s="246">
        <f t="shared" si="2"/>
      </c>
      <c r="D57" s="98">
        <f ca="1" t="shared" si="3"/>
      </c>
      <c r="E57" s="98">
        <f t="shared" si="4"/>
      </c>
      <c r="F57" s="98">
        <f t="shared" si="5"/>
      </c>
      <c r="G57" s="99">
        <f ca="1" t="shared" si="6"/>
      </c>
      <c r="H57" s="98">
        <f t="shared" si="7"/>
      </c>
      <c r="I57" s="98">
        <f t="shared" si="8"/>
      </c>
      <c r="J57" s="99">
        <f ca="1" t="shared" si="9"/>
      </c>
      <c r="K57" s="98">
        <f t="shared" si="10"/>
      </c>
      <c r="L57" s="98">
        <f t="shared" si="11"/>
      </c>
      <c r="M57" s="99">
        <f ca="1" t="shared" si="12"/>
      </c>
      <c r="N57" s="98">
        <f t="shared" si="13"/>
      </c>
      <c r="O57" s="100">
        <f t="shared" si="14"/>
      </c>
      <c r="AE57" s="105">
        <f t="shared" si="0"/>
      </c>
      <c r="AF57" s="106">
        <f t="shared" si="1"/>
      </c>
    </row>
    <row r="58" spans="2:32" ht="12.75">
      <c r="B58" s="97">
        <v>58</v>
      </c>
      <c r="C58" s="246">
        <f t="shared" si="2"/>
      </c>
      <c r="D58" s="98">
        <f ca="1" t="shared" si="3"/>
      </c>
      <c r="E58" s="98">
        <f t="shared" si="4"/>
      </c>
      <c r="F58" s="98">
        <f t="shared" si="5"/>
      </c>
      <c r="G58" s="99">
        <f ca="1" t="shared" si="6"/>
      </c>
      <c r="H58" s="98">
        <f t="shared" si="7"/>
      </c>
      <c r="I58" s="98">
        <f t="shared" si="8"/>
      </c>
      <c r="J58" s="99">
        <f ca="1" t="shared" si="9"/>
      </c>
      <c r="K58" s="98">
        <f t="shared" si="10"/>
      </c>
      <c r="L58" s="98">
        <f t="shared" si="11"/>
      </c>
      <c r="M58" s="99">
        <f ca="1" t="shared" si="12"/>
      </c>
      <c r="N58" s="98">
        <f t="shared" si="13"/>
      </c>
      <c r="O58" s="100">
        <f t="shared" si="14"/>
      </c>
      <c r="AE58" s="105">
        <f t="shared" si="0"/>
      </c>
      <c r="AF58" s="106">
        <f t="shared" si="1"/>
      </c>
    </row>
    <row r="59" spans="2:32" ht="12.75">
      <c r="B59" s="97">
        <v>59</v>
      </c>
      <c r="C59" s="246">
        <f t="shared" si="2"/>
      </c>
      <c r="D59" s="98">
        <f ca="1" t="shared" si="3"/>
      </c>
      <c r="E59" s="98">
        <f t="shared" si="4"/>
      </c>
      <c r="F59" s="98">
        <f t="shared" si="5"/>
      </c>
      <c r="G59" s="99">
        <f ca="1" t="shared" si="6"/>
      </c>
      <c r="H59" s="98">
        <f t="shared" si="7"/>
      </c>
      <c r="I59" s="98">
        <f t="shared" si="8"/>
      </c>
      <c r="J59" s="99">
        <f ca="1" t="shared" si="9"/>
      </c>
      <c r="K59" s="98">
        <f t="shared" si="10"/>
      </c>
      <c r="L59" s="98">
        <f t="shared" si="11"/>
      </c>
      <c r="M59" s="99">
        <f ca="1" t="shared" si="12"/>
      </c>
      <c r="N59" s="98">
        <f t="shared" si="13"/>
      </c>
      <c r="O59" s="100">
        <f t="shared" si="14"/>
      </c>
      <c r="AE59" s="105">
        <f t="shared" si="0"/>
      </c>
      <c r="AF59" s="106">
        <f t="shared" si="1"/>
      </c>
    </row>
    <row r="60" spans="2:32" ht="12.75">
      <c r="B60" s="97">
        <v>60</v>
      </c>
      <c r="C60" s="246">
        <f t="shared" si="2"/>
      </c>
      <c r="D60" s="98">
        <f ca="1" t="shared" si="3"/>
      </c>
      <c r="E60" s="98">
        <f t="shared" si="4"/>
      </c>
      <c r="F60" s="98">
        <f t="shared" si="5"/>
      </c>
      <c r="G60" s="99">
        <f ca="1" t="shared" si="6"/>
      </c>
      <c r="H60" s="98">
        <f t="shared" si="7"/>
      </c>
      <c r="I60" s="98">
        <f t="shared" si="8"/>
      </c>
      <c r="J60" s="99">
        <f ca="1" t="shared" si="9"/>
      </c>
      <c r="K60" s="98">
        <f t="shared" si="10"/>
      </c>
      <c r="L60" s="98">
        <f t="shared" si="11"/>
      </c>
      <c r="M60" s="99">
        <f ca="1" t="shared" si="12"/>
      </c>
      <c r="N60" s="98">
        <f t="shared" si="13"/>
      </c>
      <c r="O60" s="100">
        <f t="shared" si="14"/>
      </c>
      <c r="AE60" s="105">
        <f t="shared" si="0"/>
      </c>
      <c r="AF60" s="106">
        <f t="shared" si="1"/>
      </c>
    </row>
    <row r="61" spans="2:32" ht="12.75">
      <c r="B61" s="97">
        <v>61</v>
      </c>
      <c r="C61" s="246">
        <f t="shared" si="2"/>
      </c>
      <c r="D61" s="98">
        <f ca="1" t="shared" si="3"/>
      </c>
      <c r="E61" s="98">
        <f t="shared" si="4"/>
      </c>
      <c r="F61" s="98">
        <f t="shared" si="5"/>
      </c>
      <c r="G61" s="99">
        <f ca="1" t="shared" si="6"/>
      </c>
      <c r="H61" s="98">
        <f t="shared" si="7"/>
      </c>
      <c r="I61" s="98">
        <f t="shared" si="8"/>
      </c>
      <c r="J61" s="99">
        <f ca="1" t="shared" si="9"/>
      </c>
      <c r="K61" s="98">
        <f t="shared" si="10"/>
      </c>
      <c r="L61" s="98">
        <f t="shared" si="11"/>
      </c>
      <c r="M61" s="99">
        <f ca="1" t="shared" si="12"/>
      </c>
      <c r="N61" s="98">
        <f t="shared" si="13"/>
      </c>
      <c r="O61" s="100">
        <f t="shared" si="14"/>
      </c>
      <c r="AE61" s="105">
        <f t="shared" si="0"/>
      </c>
      <c r="AF61" s="106">
        <f t="shared" si="1"/>
      </c>
    </row>
    <row r="62" spans="2:32" ht="12.75">
      <c r="B62" s="97">
        <v>62</v>
      </c>
      <c r="C62" s="246">
        <f t="shared" si="2"/>
      </c>
      <c r="D62" s="98">
        <f ca="1" t="shared" si="3"/>
      </c>
      <c r="E62" s="98">
        <f t="shared" si="4"/>
      </c>
      <c r="F62" s="98">
        <f t="shared" si="5"/>
      </c>
      <c r="G62" s="99">
        <f ca="1" t="shared" si="6"/>
      </c>
      <c r="H62" s="98">
        <f t="shared" si="7"/>
      </c>
      <c r="I62" s="98">
        <f t="shared" si="8"/>
      </c>
      <c r="J62" s="99">
        <f ca="1" t="shared" si="9"/>
      </c>
      <c r="K62" s="98">
        <f t="shared" si="10"/>
      </c>
      <c r="L62" s="98">
        <f t="shared" si="11"/>
      </c>
      <c r="M62" s="99">
        <f ca="1" t="shared" si="12"/>
      </c>
      <c r="N62" s="98">
        <f t="shared" si="13"/>
      </c>
      <c r="O62" s="100">
        <f t="shared" si="14"/>
      </c>
      <c r="AE62" s="105">
        <f t="shared" si="0"/>
      </c>
      <c r="AF62" s="106">
        <f t="shared" si="1"/>
      </c>
    </row>
    <row r="63" spans="2:32" ht="12.75">
      <c r="B63" s="97">
        <v>63</v>
      </c>
      <c r="C63" s="246">
        <f t="shared" si="2"/>
      </c>
      <c r="D63" s="98">
        <f ca="1" t="shared" si="3"/>
      </c>
      <c r="E63" s="98">
        <f t="shared" si="4"/>
      </c>
      <c r="F63" s="98">
        <f t="shared" si="5"/>
      </c>
      <c r="G63" s="99">
        <f ca="1" t="shared" si="6"/>
      </c>
      <c r="H63" s="98">
        <f t="shared" si="7"/>
      </c>
      <c r="I63" s="98">
        <f t="shared" si="8"/>
      </c>
      <c r="J63" s="99">
        <f ca="1" t="shared" si="9"/>
      </c>
      <c r="K63" s="98">
        <f t="shared" si="10"/>
      </c>
      <c r="L63" s="98">
        <f t="shared" si="11"/>
      </c>
      <c r="M63" s="99">
        <f ca="1" t="shared" si="12"/>
      </c>
      <c r="N63" s="98">
        <f t="shared" si="13"/>
      </c>
      <c r="O63" s="100">
        <f t="shared" si="14"/>
      </c>
      <c r="AE63" s="105">
        <f t="shared" si="0"/>
      </c>
      <c r="AF63" s="106">
        <f t="shared" si="1"/>
      </c>
    </row>
    <row r="64" spans="2:32" ht="12.75">
      <c r="B64" s="97">
        <v>64</v>
      </c>
      <c r="C64" s="246">
        <f t="shared" si="2"/>
      </c>
      <c r="D64" s="98">
        <f ca="1" t="shared" si="3"/>
      </c>
      <c r="E64" s="98">
        <f t="shared" si="4"/>
      </c>
      <c r="F64" s="98">
        <f t="shared" si="5"/>
      </c>
      <c r="G64" s="99">
        <f ca="1" t="shared" si="6"/>
      </c>
      <c r="H64" s="98">
        <f t="shared" si="7"/>
      </c>
      <c r="I64" s="98">
        <f t="shared" si="8"/>
      </c>
      <c r="J64" s="99">
        <f ca="1" t="shared" si="9"/>
      </c>
      <c r="K64" s="98">
        <f t="shared" si="10"/>
      </c>
      <c r="L64" s="98">
        <f t="shared" si="11"/>
      </c>
      <c r="M64" s="99">
        <f ca="1" t="shared" si="12"/>
      </c>
      <c r="N64" s="98">
        <f t="shared" si="13"/>
      </c>
      <c r="O64" s="100">
        <f t="shared" si="14"/>
      </c>
      <c r="AE64" s="105">
        <f t="shared" si="0"/>
      </c>
      <c r="AF64" s="106">
        <f t="shared" si="1"/>
      </c>
    </row>
    <row r="65" spans="2:32" ht="12.75">
      <c r="B65" s="97">
        <v>65</v>
      </c>
      <c r="C65" s="247">
        <f t="shared" si="2"/>
      </c>
      <c r="D65" s="110">
        <f ca="1" t="shared" si="3"/>
      </c>
      <c r="E65" s="110">
        <f t="shared" si="4"/>
      </c>
      <c r="F65" s="110">
        <f t="shared" si="5"/>
      </c>
      <c r="G65" s="137">
        <f ca="1" t="shared" si="6"/>
      </c>
      <c r="H65" s="110">
        <f t="shared" si="7"/>
      </c>
      <c r="I65" s="110">
        <f t="shared" si="8"/>
      </c>
      <c r="J65" s="137">
        <f ca="1" t="shared" si="9"/>
      </c>
      <c r="K65" s="110">
        <f t="shared" si="10"/>
      </c>
      <c r="L65" s="110">
        <f t="shared" si="11"/>
      </c>
      <c r="M65" s="137">
        <f ca="1" t="shared" si="12"/>
      </c>
      <c r="N65" s="110">
        <f t="shared" si="13"/>
      </c>
      <c r="O65" s="111">
        <f t="shared" si="14"/>
      </c>
      <c r="AE65" s="138">
        <f t="shared" si="0"/>
      </c>
      <c r="AF65" s="139">
        <f t="shared" si="1"/>
      </c>
    </row>
  </sheetData>
  <sheetProtection sheet="1" objects="1" scenarios="1"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A65"/>
  <sheetViews>
    <sheetView showGridLines="0" zoomScale="95" zoomScaleNormal="95" workbookViewId="0" topLeftCell="A1">
      <selection activeCell="D7" sqref="D7"/>
    </sheetView>
  </sheetViews>
  <sheetFormatPr defaultColWidth="9.140625" defaultRowHeight="12.75"/>
  <cols>
    <col min="1" max="1" width="2.57421875" style="22" customWidth="1"/>
    <col min="2" max="2" width="9.140625" style="22" customWidth="1"/>
    <col min="3" max="3" width="10.7109375" style="22" customWidth="1"/>
    <col min="4" max="12" width="9.140625" style="22" customWidth="1"/>
    <col min="13" max="13" width="12.28125" style="22" customWidth="1"/>
    <col min="14" max="16384" width="9.140625" style="22" customWidth="1"/>
  </cols>
  <sheetData>
    <row r="1" spans="2:17" ht="21.75" customHeight="1">
      <c r="B1" s="183" t="s">
        <v>27</v>
      </c>
      <c r="C1" s="184"/>
      <c r="D1" s="184"/>
      <c r="E1" s="184"/>
      <c r="F1" s="184"/>
      <c r="G1" s="184"/>
      <c r="H1" s="79" t="s">
        <v>116</v>
      </c>
      <c r="I1" s="184"/>
      <c r="J1" s="20"/>
      <c r="K1" s="20"/>
      <c r="L1" s="20"/>
      <c r="M1" s="20"/>
      <c r="N1" s="20"/>
      <c r="O1" s="20"/>
      <c r="P1" s="20"/>
      <c r="Q1" s="27"/>
    </row>
    <row r="2" spans="2:17" ht="18" customHeight="1">
      <c r="B2" s="20"/>
      <c r="C2" s="23" t="s">
        <v>63</v>
      </c>
      <c r="D2" s="5"/>
      <c r="E2" s="184"/>
      <c r="F2" s="184"/>
      <c r="G2" s="184"/>
      <c r="H2" s="184"/>
      <c r="I2" s="57"/>
      <c r="J2" s="20"/>
      <c r="K2" s="20"/>
      <c r="L2" s="20"/>
      <c r="M2" s="20"/>
      <c r="N2" s="20"/>
      <c r="O2" s="20"/>
      <c r="P2" s="20"/>
      <c r="Q2" s="27"/>
    </row>
    <row r="3" spans="2:17" ht="15" customHeight="1">
      <c r="B3" s="20"/>
      <c r="C3" s="26" t="s">
        <v>64</v>
      </c>
      <c r="D3" s="60"/>
      <c r="E3" s="185"/>
      <c r="F3" s="185"/>
      <c r="G3" s="185"/>
      <c r="H3" s="185"/>
      <c r="I3" s="57"/>
      <c r="J3" s="35"/>
      <c r="K3" s="20"/>
      <c r="L3" s="20"/>
      <c r="M3" s="20"/>
      <c r="N3" s="20"/>
      <c r="O3" s="20"/>
      <c r="P3" s="20"/>
      <c r="Q3" s="27"/>
    </row>
    <row r="4" spans="2:17" ht="15" customHeight="1">
      <c r="B4" s="20"/>
      <c r="C4" s="26" t="s">
        <v>123</v>
      </c>
      <c r="D4" s="27"/>
      <c r="E4" s="34"/>
      <c r="F4" s="34"/>
      <c r="G4" s="34"/>
      <c r="H4" s="34"/>
      <c r="J4" s="34"/>
      <c r="K4" s="20"/>
      <c r="L4" s="20"/>
      <c r="M4" s="20"/>
      <c r="N4" s="20"/>
      <c r="O4" s="20"/>
      <c r="P4" s="20"/>
      <c r="Q4" s="27"/>
    </row>
    <row r="5" spans="1:25" ht="15" customHeight="1">
      <c r="A5" s="32"/>
      <c r="B5" s="32"/>
      <c r="C5" s="174"/>
      <c r="D5" s="32"/>
      <c r="E5" s="32"/>
      <c r="F5" s="32"/>
      <c r="G5" s="32"/>
      <c r="H5" s="31"/>
      <c r="I5" s="32"/>
      <c r="J5" s="31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</row>
    <row r="6" spans="1:16" ht="24" customHeight="1">
      <c r="A6" s="20"/>
      <c r="B6" s="81" t="s">
        <v>128</v>
      </c>
      <c r="C6" s="140"/>
      <c r="D6" s="20"/>
      <c r="E6" s="34"/>
      <c r="F6" s="34"/>
      <c r="P6" s="20"/>
    </row>
    <row r="7" spans="1:16" ht="15" customHeight="1">
      <c r="A7" s="20"/>
      <c r="B7" s="178" t="s">
        <v>124</v>
      </c>
      <c r="C7" s="175"/>
      <c r="D7" s="141" t="s">
        <v>26</v>
      </c>
      <c r="E7" s="142" t="s">
        <v>41</v>
      </c>
      <c r="F7" s="143"/>
      <c r="G7" s="143"/>
      <c r="H7" s="143"/>
      <c r="I7" s="144"/>
      <c r="P7" s="20"/>
    </row>
    <row r="8" spans="1:16" ht="15" customHeight="1">
      <c r="A8" s="20"/>
      <c r="B8" s="179" t="s">
        <v>125</v>
      </c>
      <c r="C8" s="176"/>
      <c r="D8" s="145">
        <v>3</v>
      </c>
      <c r="E8" s="146" t="s">
        <v>42</v>
      </c>
      <c r="F8" s="147"/>
      <c r="G8" s="147"/>
      <c r="H8" s="147"/>
      <c r="I8" s="148"/>
      <c r="P8" s="20"/>
    </row>
    <row r="9" spans="1:16" ht="15" customHeight="1">
      <c r="A9" s="20"/>
      <c r="B9" s="179" t="s">
        <v>126</v>
      </c>
      <c r="C9" s="176"/>
      <c r="D9" s="145">
        <v>22</v>
      </c>
      <c r="E9" s="146" t="s">
        <v>43</v>
      </c>
      <c r="F9" s="147"/>
      <c r="G9" s="147"/>
      <c r="H9" s="147"/>
      <c r="I9" s="148"/>
      <c r="P9" s="20"/>
    </row>
    <row r="10" spans="1:16" ht="15" customHeight="1">
      <c r="A10" s="20"/>
      <c r="B10" s="180" t="s">
        <v>127</v>
      </c>
      <c r="C10" s="177"/>
      <c r="D10" s="149">
        <v>10</v>
      </c>
      <c r="E10" s="150" t="s">
        <v>44</v>
      </c>
      <c r="F10" s="151"/>
      <c r="G10" s="151"/>
      <c r="H10" s="151"/>
      <c r="I10" s="152"/>
      <c r="P10" s="20"/>
    </row>
    <row r="11" spans="1:27" ht="15" customHeight="1">
      <c r="A11" s="20"/>
      <c r="B11" s="20"/>
      <c r="C11" s="20"/>
      <c r="D11" s="181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</row>
    <row r="12" spans="2:25" ht="24" customHeight="1" thickBot="1">
      <c r="B12" s="81" t="s">
        <v>107</v>
      </c>
      <c r="L12" s="80" t="s">
        <v>129</v>
      </c>
      <c r="M12" s="61"/>
      <c r="O12" s="80" t="s">
        <v>130</v>
      </c>
      <c r="P12" s="61"/>
      <c r="Q12" s="61"/>
      <c r="R12" s="61"/>
      <c r="S12" s="61"/>
      <c r="T12" s="61"/>
      <c r="U12" s="61"/>
      <c r="V12" s="61"/>
      <c r="W12" s="61"/>
      <c r="X12" s="61"/>
      <c r="Y12" s="61"/>
    </row>
    <row r="13" ht="12.75" customHeight="1" thickTop="1"/>
    <row r="14" spans="12:25" ht="12.75" customHeight="1">
      <c r="L14" s="32" t="s">
        <v>0</v>
      </c>
      <c r="M14" s="171" t="s">
        <v>10</v>
      </c>
      <c r="O14" s="153" t="s">
        <v>29</v>
      </c>
      <c r="P14" s="205" t="str">
        <f>+IF(cat0&lt;&gt;"",cat0,"")</f>
        <v>Menial</v>
      </c>
      <c r="Q14" s="205" t="str">
        <f>+IF(cat1&lt;&gt;"",cat1,"")</f>
        <v>BlueCol</v>
      </c>
      <c r="R14" s="205" t="str">
        <f>+IF(cat2&lt;&gt;"",cat2,"")</f>
        <v>Craft</v>
      </c>
      <c r="S14" s="205" t="str">
        <f>+IF(cat3&lt;&gt;"",cat3,"")</f>
        <v>WhiteCol</v>
      </c>
      <c r="T14" s="205" t="str">
        <f>+IF(cat4&lt;&gt;"",cat4,"")</f>
        <v>prof</v>
      </c>
      <c r="U14" s="205">
        <f>+IF(cat5&lt;&gt;"",cat5,"")</f>
      </c>
      <c r="V14" s="205">
        <f>+IF(cat6&lt;&gt;"",cat6,"")</f>
      </c>
      <c r="W14" s="205">
        <f>+IF(cat7&lt;&gt;"",cat7,"")</f>
      </c>
      <c r="X14" s="205">
        <f>+IF(cat8&lt;&gt;"",cat8,"")</f>
      </c>
      <c r="Y14" s="205">
        <f>+IF(cat9&lt;&gt;"",cat9,"")</f>
      </c>
    </row>
    <row r="15" spans="13:25" ht="12.75" customHeight="1">
      <c r="M15" s="155"/>
      <c r="O15" s="156">
        <f>IF(sump0="","",sump0)</f>
        <v>3</v>
      </c>
      <c r="P15" s="106">
        <f>IF(+sump="","",mlm1(+sump))</f>
        <v>0.1216152562671566</v>
      </c>
      <c r="Q15" s="157">
        <f>IF(+sump1="","",mlmx(+sump1,+sump))</f>
        <v>0.7184653736196487</v>
      </c>
      <c r="R15" s="157">
        <f>IF(+sump2="","",mlmx(+sump2,+sump))</f>
        <v>0.15306430028536763</v>
      </c>
      <c r="S15" s="157">
        <f>IF(+sump3="","",mlmx(+sump3,+sump))</f>
        <v>0.006701823652610788</v>
      </c>
      <c r="T15" s="157">
        <f>IF(+sump4="","",mlmx(+sump4,+sump))</f>
        <v>0.00015324617521636385</v>
      </c>
      <c r="U15" s="157">
        <f>IF(+sump5="","",mlmx(+sump5,+sump))</f>
      </c>
      <c r="V15" s="157">
        <f>IF(+sump6="","",mlmx(+sump6,+sump))</f>
      </c>
      <c r="W15" s="157">
        <f>IF(+sump7="","",mlmx(+sump7,+sump))</f>
      </c>
      <c r="X15" s="157">
        <f>IF(+sump8="","",mlmx(+sump8,+sump))</f>
      </c>
      <c r="Y15" s="157">
        <f>IF(+sump9="","",mlmx(+sump9,+sump))</f>
      </c>
    </row>
    <row r="16" spans="12:25" ht="12.75" customHeight="1">
      <c r="L16" s="102" t="str">
        <f>IF(RHV="","",RHV)</f>
        <v>WHITE</v>
      </c>
      <c r="M16" s="155">
        <f>IF(RHV="","",Bval)</f>
        <v>1</v>
      </c>
      <c r="O16" s="156">
        <f aca="true" t="shared" si="0" ref="O16:O34">IF(sump0="","",sump0)</f>
        <v>5.111111111111111</v>
      </c>
      <c r="P16" s="106">
        <f aca="true" t="shared" si="1" ref="P16:P34">IF(+sump="","",mlm1(+sump))</f>
        <v>0.13429836093762573</v>
      </c>
      <c r="Q16" s="106">
        <f aca="true" t="shared" si="2" ref="Q16:Q34">IF(+sump1="","",mlmx(+sump1,+sump))</f>
        <v>0.643178568670487</v>
      </c>
      <c r="R16" s="106">
        <f aca="true" t="shared" si="3" ref="R16:R34">IF(+sump2="","",mlmx(+sump2,+sump))</f>
        <v>0.20604906176210178</v>
      </c>
      <c r="S16" s="106">
        <f aca="true" t="shared" si="4" ref="S16:S34">IF(+sump3="","",mlmx(+sump3,+sump))</f>
        <v>0.015597900086357164</v>
      </c>
      <c r="T16" s="106">
        <f aca="true" t="shared" si="5" ref="T16:T34">IF(+sump4="","",mlmx(+sump4,+sump))</f>
        <v>0.0008761085434282678</v>
      </c>
      <c r="U16" s="106">
        <f aca="true" t="shared" si="6" ref="U16:U34">IF(+sump5="","",mlmx(+sump5,+sump))</f>
      </c>
      <c r="V16" s="106">
        <f aca="true" t="shared" si="7" ref="V16:V34">IF(+sump6="","",mlmx(+sump6,+sump))</f>
      </c>
      <c r="W16" s="106">
        <f aca="true" t="shared" si="8" ref="W16:W34">IF(+sump7="","",mlmx(+sump7,+sump))</f>
      </c>
      <c r="X16" s="106">
        <f aca="true" t="shared" si="9" ref="X16:X34">IF(+sump8="","",mlmx(+sump8,+sump))</f>
      </c>
      <c r="Y16" s="106">
        <f aca="true" t="shared" si="10" ref="Y16:Y34">IF(+sump9="","",mlmx(+sump9,+sump))</f>
      </c>
    </row>
    <row r="17" spans="12:25" ht="12.75" customHeight="1">
      <c r="L17" s="105" t="str">
        <f aca="true" t="shared" si="11" ref="L17:L65">IF(RHV="","",RHV)</f>
        <v>ED</v>
      </c>
      <c r="M17" s="106">
        <f aca="true" t="shared" si="12" ref="M17:M65">IF(RHV="","",Bval)</f>
        <v>13.09496</v>
      </c>
      <c r="O17" s="156">
        <f t="shared" si="0"/>
        <v>7.222222222222221</v>
      </c>
      <c r="P17" s="106">
        <f t="shared" si="1"/>
        <v>0.1422211458316478</v>
      </c>
      <c r="Q17" s="106">
        <f t="shared" si="2"/>
        <v>0.5521640094835959</v>
      </c>
      <c r="R17" s="106">
        <f t="shared" si="3"/>
        <v>0.26599788293744553</v>
      </c>
      <c r="S17" s="106">
        <f t="shared" si="4"/>
        <v>0.034813691802350555</v>
      </c>
      <c r="T17" s="106">
        <f t="shared" si="5"/>
        <v>0.004803269944960171</v>
      </c>
      <c r="U17" s="106">
        <f t="shared" si="6"/>
      </c>
      <c r="V17" s="106">
        <f t="shared" si="7"/>
      </c>
      <c r="W17" s="106">
        <f t="shared" si="8"/>
      </c>
      <c r="X17" s="106">
        <f t="shared" si="9"/>
      </c>
      <c r="Y17" s="106">
        <f t="shared" si="10"/>
      </c>
    </row>
    <row r="18" spans="12:25" ht="12.75" customHeight="1">
      <c r="L18" s="105" t="str">
        <f t="shared" si="11"/>
        <v>EXPER</v>
      </c>
      <c r="M18" s="106">
        <f t="shared" si="12"/>
        <v>20.50148</v>
      </c>
      <c r="O18" s="156">
        <f t="shared" si="0"/>
        <v>9.333333333333332</v>
      </c>
      <c r="P18" s="106">
        <f t="shared" si="1"/>
        <v>0.140487151815855</v>
      </c>
      <c r="Q18" s="106">
        <f t="shared" si="2"/>
        <v>0.4421642233671992</v>
      </c>
      <c r="R18" s="106">
        <f t="shared" si="3"/>
        <v>0.32030571863944024</v>
      </c>
      <c r="S18" s="106">
        <f t="shared" si="4"/>
        <v>0.07247913473692853</v>
      </c>
      <c r="T18" s="106">
        <f t="shared" si="5"/>
        <v>0.02456377144057695</v>
      </c>
      <c r="U18" s="106">
        <f t="shared" si="6"/>
      </c>
      <c r="V18" s="106">
        <f t="shared" si="7"/>
      </c>
      <c r="W18" s="106">
        <f t="shared" si="8"/>
      </c>
      <c r="X18" s="106">
        <f t="shared" si="9"/>
      </c>
      <c r="Y18" s="106">
        <f t="shared" si="10"/>
      </c>
    </row>
    <row r="19" spans="12:25" ht="12.75" customHeight="1">
      <c r="L19" s="105">
        <f t="shared" si="11"/>
      </c>
      <c r="M19" s="106">
        <f t="shared" si="12"/>
      </c>
      <c r="O19" s="156">
        <f t="shared" si="0"/>
        <v>11.444444444444443</v>
      </c>
      <c r="P19" s="106">
        <f t="shared" si="1"/>
        <v>0.1201438819677676</v>
      </c>
      <c r="Q19" s="106">
        <f t="shared" si="2"/>
        <v>0.3065432248740744</v>
      </c>
      <c r="R19" s="106">
        <f t="shared" si="3"/>
        <v>0.33392106953493716</v>
      </c>
      <c r="S19" s="106">
        <f t="shared" si="4"/>
        <v>0.13063770362785715</v>
      </c>
      <c r="T19" s="106">
        <f t="shared" si="5"/>
        <v>0.1087541199953638</v>
      </c>
      <c r="U19" s="106">
        <f t="shared" si="6"/>
      </c>
      <c r="V19" s="106">
        <f t="shared" si="7"/>
      </c>
      <c r="W19" s="106">
        <f t="shared" si="8"/>
      </c>
      <c r="X19" s="106">
        <f t="shared" si="9"/>
      </c>
      <c r="Y19" s="106">
        <f t="shared" si="10"/>
      </c>
    </row>
    <row r="20" spans="12:25" ht="12.75" customHeight="1">
      <c r="L20" s="105">
        <f t="shared" si="11"/>
      </c>
      <c r="M20" s="106">
        <f t="shared" si="12"/>
      </c>
      <c r="O20" s="156">
        <f t="shared" si="0"/>
        <v>13.555555555555554</v>
      </c>
      <c r="P20" s="106">
        <f t="shared" si="1"/>
        <v>0.07443529506285672</v>
      </c>
      <c r="Q20" s="106">
        <f t="shared" si="2"/>
        <v>0.15396146876554279</v>
      </c>
      <c r="R20" s="106">
        <f t="shared" si="3"/>
        <v>0.25219423490373183</v>
      </c>
      <c r="S20" s="106">
        <f t="shared" si="4"/>
        <v>0.17058320772193816</v>
      </c>
      <c r="T20" s="106">
        <f t="shared" si="5"/>
        <v>0.3488257935459305</v>
      </c>
      <c r="U20" s="106">
        <f t="shared" si="6"/>
      </c>
      <c r="V20" s="106">
        <f t="shared" si="7"/>
      </c>
      <c r="W20" s="106">
        <f t="shared" si="8"/>
      </c>
      <c r="X20" s="106">
        <f t="shared" si="9"/>
      </c>
      <c r="Y20" s="106">
        <f t="shared" si="10"/>
      </c>
    </row>
    <row r="21" spans="12:25" ht="12.75" customHeight="1">
      <c r="L21" s="105">
        <f t="shared" si="11"/>
      </c>
      <c r="M21" s="106">
        <f t="shared" si="12"/>
      </c>
      <c r="O21" s="156">
        <f t="shared" si="0"/>
        <v>15.666666666666664</v>
      </c>
      <c r="P21" s="106">
        <f t="shared" si="1"/>
        <v>0.02785643375142576</v>
      </c>
      <c r="Q21" s="106">
        <f t="shared" si="2"/>
        <v>0.04670912343136604</v>
      </c>
      <c r="R21" s="106">
        <f t="shared" si="3"/>
        <v>0.11505244019611578</v>
      </c>
      <c r="S21" s="106">
        <f t="shared" si="4"/>
        <v>0.13454679714711</v>
      </c>
      <c r="T21" s="106">
        <f t="shared" si="5"/>
        <v>0.6758352054739826</v>
      </c>
      <c r="U21" s="106">
        <f t="shared" si="6"/>
      </c>
      <c r="V21" s="106">
        <f t="shared" si="7"/>
      </c>
      <c r="W21" s="106">
        <f t="shared" si="8"/>
      </c>
      <c r="X21" s="106">
        <f t="shared" si="9"/>
      </c>
      <c r="Y21" s="106">
        <f t="shared" si="10"/>
      </c>
    </row>
    <row r="22" spans="12:25" ht="12.75" customHeight="1">
      <c r="L22" s="105">
        <f t="shared" si="11"/>
      </c>
      <c r="M22" s="106">
        <f t="shared" si="12"/>
      </c>
      <c r="O22" s="156">
        <f t="shared" si="0"/>
        <v>17.777777777777775</v>
      </c>
      <c r="P22" s="106">
        <f t="shared" si="1"/>
        <v>0.006984353394015202</v>
      </c>
      <c r="Q22" s="106">
        <f t="shared" si="2"/>
        <v>0.009493917998771926</v>
      </c>
      <c r="R22" s="106">
        <f t="shared" si="3"/>
        <v>0.03516499836033099</v>
      </c>
      <c r="S22" s="106">
        <f t="shared" si="4"/>
        <v>0.07109917126384803</v>
      </c>
      <c r="T22" s="106">
        <f t="shared" si="5"/>
        <v>0.8772575589830339</v>
      </c>
      <c r="U22" s="106">
        <f t="shared" si="6"/>
      </c>
      <c r="V22" s="106">
        <f t="shared" si="7"/>
      </c>
      <c r="W22" s="106">
        <f t="shared" si="8"/>
      </c>
      <c r="X22" s="106">
        <f t="shared" si="9"/>
      </c>
      <c r="Y22" s="106">
        <f t="shared" si="10"/>
      </c>
    </row>
    <row r="23" spans="12:25" ht="12.75" customHeight="1">
      <c r="L23" s="105">
        <f t="shared" si="11"/>
      </c>
      <c r="M23" s="106">
        <f t="shared" si="12"/>
      </c>
      <c r="O23" s="156">
        <f t="shared" si="0"/>
        <v>19.888888888888886</v>
      </c>
      <c r="P23" s="106">
        <f t="shared" si="1"/>
        <v>0.0014706881471889045</v>
      </c>
      <c r="Q23" s="106">
        <f t="shared" si="2"/>
        <v>0.0016206264869998255</v>
      </c>
      <c r="R23" s="106">
        <f t="shared" si="3"/>
        <v>0.00902649333744087</v>
      </c>
      <c r="S23" s="106">
        <f t="shared" si="4"/>
        <v>0.0315536359397761</v>
      </c>
      <c r="T23" s="106">
        <f t="shared" si="5"/>
        <v>0.9563285560885942</v>
      </c>
      <c r="U23" s="106">
        <f t="shared" si="6"/>
      </c>
      <c r="V23" s="106">
        <f t="shared" si="7"/>
      </c>
      <c r="W23" s="106">
        <f t="shared" si="8"/>
      </c>
      <c r="X23" s="106">
        <f t="shared" si="9"/>
      </c>
      <c r="Y23" s="106">
        <f t="shared" si="10"/>
      </c>
    </row>
    <row r="24" spans="12:25" ht="12.75" customHeight="1">
      <c r="L24" s="105">
        <f t="shared" si="11"/>
      </c>
      <c r="M24" s="106">
        <f t="shared" si="12"/>
      </c>
      <c r="O24" s="156">
        <f t="shared" si="0"/>
        <v>21.999999999999996</v>
      </c>
      <c r="P24" s="106">
        <f t="shared" si="1"/>
        <v>0.00029230843721424383</v>
      </c>
      <c r="Q24" s="106">
        <f t="shared" si="2"/>
        <v>0.0002611239826886147</v>
      </c>
      <c r="R24" s="106">
        <f t="shared" si="3"/>
        <v>0.002187025780423626</v>
      </c>
      <c r="S24" s="106">
        <f t="shared" si="4"/>
        <v>0.013217844987022978</v>
      </c>
      <c r="T24" s="106">
        <f t="shared" si="5"/>
        <v>0.9840416968126505</v>
      </c>
      <c r="U24" s="106">
        <f t="shared" si="6"/>
      </c>
      <c r="V24" s="106">
        <f t="shared" si="7"/>
      </c>
      <c r="W24" s="106">
        <f t="shared" si="8"/>
      </c>
      <c r="X24" s="106">
        <f t="shared" si="9"/>
      </c>
      <c r="Y24" s="106">
        <f t="shared" si="10"/>
      </c>
    </row>
    <row r="25" spans="12:25" ht="12.75" customHeight="1">
      <c r="L25" s="105">
        <f t="shared" si="11"/>
      </c>
      <c r="M25" s="106">
        <f t="shared" si="12"/>
      </c>
      <c r="O25" s="156">
        <f t="shared" si="0"/>
      </c>
      <c r="P25" s="106">
        <f t="shared" si="1"/>
      </c>
      <c r="Q25" s="106">
        <f t="shared" si="2"/>
      </c>
      <c r="R25" s="106">
        <f t="shared" si="3"/>
      </c>
      <c r="S25" s="106">
        <f t="shared" si="4"/>
      </c>
      <c r="T25" s="106">
        <f t="shared" si="5"/>
      </c>
      <c r="U25" s="106">
        <f t="shared" si="6"/>
      </c>
      <c r="V25" s="106">
        <f t="shared" si="7"/>
      </c>
      <c r="W25" s="106">
        <f t="shared" si="8"/>
      </c>
      <c r="X25" s="106">
        <f t="shared" si="9"/>
      </c>
      <c r="Y25" s="106">
        <f t="shared" si="10"/>
      </c>
    </row>
    <row r="26" spans="12:25" ht="12.75" customHeight="1">
      <c r="L26" s="105">
        <f t="shared" si="11"/>
      </c>
      <c r="M26" s="106">
        <f t="shared" si="12"/>
      </c>
      <c r="O26" s="156">
        <f t="shared" si="0"/>
      </c>
      <c r="P26" s="106">
        <f t="shared" si="1"/>
      </c>
      <c r="Q26" s="106">
        <f t="shared" si="2"/>
      </c>
      <c r="R26" s="106">
        <f t="shared" si="3"/>
      </c>
      <c r="S26" s="106">
        <f t="shared" si="4"/>
      </c>
      <c r="T26" s="106">
        <f t="shared" si="5"/>
      </c>
      <c r="U26" s="106">
        <f t="shared" si="6"/>
      </c>
      <c r="V26" s="106">
        <f t="shared" si="7"/>
      </c>
      <c r="W26" s="106">
        <f t="shared" si="8"/>
      </c>
      <c r="X26" s="106">
        <f t="shared" si="9"/>
      </c>
      <c r="Y26" s="106">
        <f t="shared" si="10"/>
      </c>
    </row>
    <row r="27" spans="12:25" ht="12.75" customHeight="1">
      <c r="L27" s="105">
        <f t="shared" si="11"/>
      </c>
      <c r="M27" s="106">
        <f t="shared" si="12"/>
      </c>
      <c r="O27" s="156">
        <f t="shared" si="0"/>
      </c>
      <c r="P27" s="106">
        <f t="shared" si="1"/>
      </c>
      <c r="Q27" s="106">
        <f t="shared" si="2"/>
      </c>
      <c r="R27" s="106">
        <f t="shared" si="3"/>
      </c>
      <c r="S27" s="106">
        <f t="shared" si="4"/>
      </c>
      <c r="T27" s="106">
        <f t="shared" si="5"/>
      </c>
      <c r="U27" s="106">
        <f t="shared" si="6"/>
      </c>
      <c r="V27" s="106">
        <f t="shared" si="7"/>
      </c>
      <c r="W27" s="106">
        <f t="shared" si="8"/>
      </c>
      <c r="X27" s="106">
        <f t="shared" si="9"/>
      </c>
      <c r="Y27" s="106">
        <f t="shared" si="10"/>
      </c>
    </row>
    <row r="28" spans="12:25" ht="12.75" customHeight="1">
      <c r="L28" s="105">
        <f t="shared" si="11"/>
      </c>
      <c r="M28" s="106">
        <f t="shared" si="12"/>
      </c>
      <c r="O28" s="156">
        <f t="shared" si="0"/>
      </c>
      <c r="P28" s="106">
        <f t="shared" si="1"/>
      </c>
      <c r="Q28" s="106">
        <f t="shared" si="2"/>
      </c>
      <c r="R28" s="106">
        <f t="shared" si="3"/>
      </c>
      <c r="S28" s="106">
        <f t="shared" si="4"/>
      </c>
      <c r="T28" s="106">
        <f t="shared" si="5"/>
      </c>
      <c r="U28" s="106">
        <f t="shared" si="6"/>
      </c>
      <c r="V28" s="106">
        <f t="shared" si="7"/>
      </c>
      <c r="W28" s="106">
        <f t="shared" si="8"/>
      </c>
      <c r="X28" s="106">
        <f t="shared" si="9"/>
      </c>
      <c r="Y28" s="106">
        <f t="shared" si="10"/>
      </c>
    </row>
    <row r="29" spans="12:25" ht="12.75" customHeight="1">
      <c r="L29" s="105">
        <f t="shared" si="11"/>
      </c>
      <c r="M29" s="106">
        <f t="shared" si="12"/>
      </c>
      <c r="O29" s="156">
        <f t="shared" si="0"/>
      </c>
      <c r="P29" s="106">
        <f t="shared" si="1"/>
      </c>
      <c r="Q29" s="106">
        <f t="shared" si="2"/>
      </c>
      <c r="R29" s="106">
        <f t="shared" si="3"/>
      </c>
      <c r="S29" s="106">
        <f t="shared" si="4"/>
      </c>
      <c r="T29" s="106">
        <f t="shared" si="5"/>
      </c>
      <c r="U29" s="106">
        <f t="shared" si="6"/>
      </c>
      <c r="V29" s="106">
        <f t="shared" si="7"/>
      </c>
      <c r="W29" s="106">
        <f t="shared" si="8"/>
      </c>
      <c r="X29" s="106">
        <f t="shared" si="9"/>
      </c>
      <c r="Y29" s="106">
        <f t="shared" si="10"/>
      </c>
    </row>
    <row r="30" spans="12:25" ht="12.75" customHeight="1">
      <c r="L30" s="105">
        <f t="shared" si="11"/>
      </c>
      <c r="M30" s="106">
        <f t="shared" si="12"/>
      </c>
      <c r="O30" s="156">
        <f t="shared" si="0"/>
      </c>
      <c r="P30" s="106">
        <f t="shared" si="1"/>
      </c>
      <c r="Q30" s="106">
        <f t="shared" si="2"/>
      </c>
      <c r="R30" s="106">
        <f t="shared" si="3"/>
      </c>
      <c r="S30" s="106">
        <f t="shared" si="4"/>
      </c>
      <c r="T30" s="106">
        <f t="shared" si="5"/>
      </c>
      <c r="U30" s="106">
        <f t="shared" si="6"/>
      </c>
      <c r="V30" s="106">
        <f t="shared" si="7"/>
      </c>
      <c r="W30" s="106">
        <f t="shared" si="8"/>
      </c>
      <c r="X30" s="106">
        <f t="shared" si="9"/>
      </c>
      <c r="Y30" s="106">
        <f t="shared" si="10"/>
      </c>
    </row>
    <row r="31" spans="12:25" ht="12.75" customHeight="1">
      <c r="L31" s="105">
        <f t="shared" si="11"/>
      </c>
      <c r="M31" s="106">
        <f t="shared" si="12"/>
      </c>
      <c r="O31" s="156">
        <f t="shared" si="0"/>
      </c>
      <c r="P31" s="106">
        <f t="shared" si="1"/>
      </c>
      <c r="Q31" s="106">
        <f t="shared" si="2"/>
      </c>
      <c r="R31" s="106">
        <f t="shared" si="3"/>
      </c>
      <c r="S31" s="106">
        <f t="shared" si="4"/>
      </c>
      <c r="T31" s="106">
        <f t="shared" si="5"/>
      </c>
      <c r="U31" s="106">
        <f t="shared" si="6"/>
      </c>
      <c r="V31" s="106">
        <f t="shared" si="7"/>
      </c>
      <c r="W31" s="106">
        <f t="shared" si="8"/>
      </c>
      <c r="X31" s="106">
        <f t="shared" si="9"/>
      </c>
      <c r="Y31" s="106">
        <f t="shared" si="10"/>
      </c>
    </row>
    <row r="32" spans="12:25" ht="12.75" customHeight="1">
      <c r="L32" s="105">
        <f t="shared" si="11"/>
      </c>
      <c r="M32" s="106">
        <f t="shared" si="12"/>
      </c>
      <c r="O32" s="156">
        <f t="shared" si="0"/>
      </c>
      <c r="P32" s="106">
        <f t="shared" si="1"/>
      </c>
      <c r="Q32" s="106">
        <f t="shared" si="2"/>
      </c>
      <c r="R32" s="106">
        <f t="shared" si="3"/>
      </c>
      <c r="S32" s="106">
        <f t="shared" si="4"/>
      </c>
      <c r="T32" s="106">
        <f t="shared" si="5"/>
      </c>
      <c r="U32" s="106">
        <f t="shared" si="6"/>
      </c>
      <c r="V32" s="106">
        <f t="shared" si="7"/>
      </c>
      <c r="W32" s="106">
        <f t="shared" si="8"/>
      </c>
      <c r="X32" s="106">
        <f t="shared" si="9"/>
      </c>
      <c r="Y32" s="106">
        <f t="shared" si="10"/>
      </c>
    </row>
    <row r="33" spans="12:25" ht="12.75" customHeight="1">
      <c r="L33" s="105">
        <f t="shared" si="11"/>
      </c>
      <c r="M33" s="106">
        <f t="shared" si="12"/>
      </c>
      <c r="O33" s="156">
        <f t="shared" si="0"/>
      </c>
      <c r="P33" s="106">
        <f t="shared" si="1"/>
      </c>
      <c r="Q33" s="106">
        <f t="shared" si="2"/>
      </c>
      <c r="R33" s="106">
        <f t="shared" si="3"/>
      </c>
      <c r="S33" s="106">
        <f t="shared" si="4"/>
      </c>
      <c r="T33" s="106">
        <f t="shared" si="5"/>
      </c>
      <c r="U33" s="106">
        <f t="shared" si="6"/>
      </c>
      <c r="V33" s="106">
        <f t="shared" si="7"/>
      </c>
      <c r="W33" s="106">
        <f t="shared" si="8"/>
      </c>
      <c r="X33" s="106">
        <f t="shared" si="9"/>
      </c>
      <c r="Y33" s="106">
        <f t="shared" si="10"/>
      </c>
    </row>
    <row r="34" spans="12:25" ht="12.75" customHeight="1">
      <c r="L34" s="105">
        <f t="shared" si="11"/>
      </c>
      <c r="M34" s="106">
        <f t="shared" si="12"/>
      </c>
      <c r="O34" s="158">
        <f t="shared" si="0"/>
      </c>
      <c r="P34" s="139">
        <f t="shared" si="1"/>
      </c>
      <c r="Q34" s="139">
        <f t="shared" si="2"/>
      </c>
      <c r="R34" s="139">
        <f t="shared" si="3"/>
      </c>
      <c r="S34" s="139">
        <f t="shared" si="4"/>
      </c>
      <c r="T34" s="139">
        <f t="shared" si="5"/>
      </c>
      <c r="U34" s="139">
        <f t="shared" si="6"/>
      </c>
      <c r="V34" s="139">
        <f t="shared" si="7"/>
      </c>
      <c r="W34" s="139">
        <f t="shared" si="8"/>
      </c>
      <c r="X34" s="139">
        <f t="shared" si="9"/>
      </c>
      <c r="Y34" s="139">
        <f t="shared" si="10"/>
      </c>
    </row>
    <row r="35" spans="12:13" ht="12.75" customHeight="1">
      <c r="L35" s="105">
        <f t="shared" si="11"/>
      </c>
      <c r="M35" s="106">
        <f t="shared" si="12"/>
      </c>
    </row>
    <row r="36" spans="12:13" ht="12.75" customHeight="1">
      <c r="L36" s="105">
        <f t="shared" si="11"/>
      </c>
      <c r="M36" s="106">
        <f t="shared" si="12"/>
      </c>
    </row>
    <row r="37" spans="12:13" ht="12.75" customHeight="1">
      <c r="L37" s="105">
        <f t="shared" si="11"/>
      </c>
      <c r="M37" s="106">
        <f t="shared" si="12"/>
      </c>
    </row>
    <row r="38" spans="12:13" ht="12.75" customHeight="1">
      <c r="L38" s="105">
        <f t="shared" si="11"/>
      </c>
      <c r="M38" s="106">
        <f t="shared" si="12"/>
      </c>
    </row>
    <row r="39" spans="12:13" ht="12.75" customHeight="1">
      <c r="L39" s="105">
        <f t="shared" si="11"/>
      </c>
      <c r="M39" s="106">
        <f t="shared" si="12"/>
      </c>
    </row>
    <row r="40" spans="12:13" ht="12.75" customHeight="1">
      <c r="L40" s="105">
        <f t="shared" si="11"/>
      </c>
      <c r="M40" s="106">
        <f t="shared" si="12"/>
      </c>
    </row>
    <row r="41" spans="12:13" ht="12.75" customHeight="1">
      <c r="L41" s="105">
        <f t="shared" si="11"/>
      </c>
      <c r="M41" s="106">
        <f t="shared" si="12"/>
      </c>
    </row>
    <row r="42" spans="12:13" ht="12.75" customHeight="1">
      <c r="L42" s="105">
        <f t="shared" si="11"/>
      </c>
      <c r="M42" s="106">
        <f t="shared" si="12"/>
      </c>
    </row>
    <row r="43" spans="12:13" ht="12.75" customHeight="1">
      <c r="L43" s="105">
        <f t="shared" si="11"/>
      </c>
      <c r="M43" s="106">
        <f t="shared" si="12"/>
      </c>
    </row>
    <row r="44" spans="12:14" ht="12.75" customHeight="1">
      <c r="L44" s="105">
        <f t="shared" si="11"/>
      </c>
      <c r="M44" s="106">
        <f t="shared" si="12"/>
      </c>
      <c r="N44" s="159"/>
    </row>
    <row r="45" spans="12:13" ht="12.75" customHeight="1">
      <c r="L45" s="105">
        <f t="shared" si="11"/>
      </c>
      <c r="M45" s="106">
        <f t="shared" si="12"/>
      </c>
    </row>
    <row r="46" spans="12:13" ht="12.75" customHeight="1">
      <c r="L46" s="105">
        <f t="shared" si="11"/>
      </c>
      <c r="M46" s="106">
        <f t="shared" si="12"/>
      </c>
    </row>
    <row r="47" spans="12:13" ht="12.75" customHeight="1">
      <c r="L47" s="105">
        <f t="shared" si="11"/>
      </c>
      <c r="M47" s="106">
        <f t="shared" si="12"/>
      </c>
    </row>
    <row r="48" spans="12:13" ht="12.75" customHeight="1">
      <c r="L48" s="105">
        <f t="shared" si="11"/>
      </c>
      <c r="M48" s="106">
        <f t="shared" si="12"/>
      </c>
    </row>
    <row r="49" spans="12:13" ht="12.75" customHeight="1">
      <c r="L49" s="105">
        <f t="shared" si="11"/>
      </c>
      <c r="M49" s="106">
        <f t="shared" si="12"/>
      </c>
    </row>
    <row r="50" spans="12:13" ht="12.75" customHeight="1">
      <c r="L50" s="105">
        <f t="shared" si="11"/>
      </c>
      <c r="M50" s="106">
        <f t="shared" si="12"/>
      </c>
    </row>
    <row r="51" spans="12:13" ht="12.75" customHeight="1">
      <c r="L51" s="105">
        <f t="shared" si="11"/>
      </c>
      <c r="M51" s="106">
        <f t="shared" si="12"/>
      </c>
    </row>
    <row r="52" spans="12:13" ht="12.75" customHeight="1">
      <c r="L52" s="105">
        <f t="shared" si="11"/>
      </c>
      <c r="M52" s="106">
        <f t="shared" si="12"/>
      </c>
    </row>
    <row r="53" spans="12:13" ht="12.75" customHeight="1">
      <c r="L53" s="105">
        <f t="shared" si="11"/>
      </c>
      <c r="M53" s="106">
        <f t="shared" si="12"/>
      </c>
    </row>
    <row r="54" spans="12:13" ht="12.75" customHeight="1">
      <c r="L54" s="105">
        <f t="shared" si="11"/>
      </c>
      <c r="M54" s="106">
        <f t="shared" si="12"/>
      </c>
    </row>
    <row r="55" spans="12:13" ht="12.75" customHeight="1">
      <c r="L55" s="105">
        <f t="shared" si="11"/>
      </c>
      <c r="M55" s="106">
        <f t="shared" si="12"/>
      </c>
    </row>
    <row r="56" spans="12:13" ht="12.75" customHeight="1">
      <c r="L56" s="105">
        <f t="shared" si="11"/>
      </c>
      <c r="M56" s="106">
        <f t="shared" si="12"/>
      </c>
    </row>
    <row r="57" spans="12:13" ht="12.75" customHeight="1">
      <c r="L57" s="105">
        <f t="shared" si="11"/>
      </c>
      <c r="M57" s="106">
        <f t="shared" si="12"/>
      </c>
    </row>
    <row r="58" spans="12:13" ht="12.75" customHeight="1">
      <c r="L58" s="105">
        <f t="shared" si="11"/>
      </c>
      <c r="M58" s="106">
        <f t="shared" si="12"/>
      </c>
    </row>
    <row r="59" spans="12:13" ht="12.75" customHeight="1">
      <c r="L59" s="105">
        <f t="shared" si="11"/>
      </c>
      <c r="M59" s="106">
        <f t="shared" si="12"/>
      </c>
    </row>
    <row r="60" spans="12:13" ht="12.75" customHeight="1">
      <c r="L60" s="105">
        <f t="shared" si="11"/>
      </c>
      <c r="M60" s="106">
        <f t="shared" si="12"/>
      </c>
    </row>
    <row r="61" spans="12:13" ht="12.75" customHeight="1">
      <c r="L61" s="105">
        <f t="shared" si="11"/>
      </c>
      <c r="M61" s="106">
        <f t="shared" si="12"/>
      </c>
    </row>
    <row r="62" spans="12:13" ht="12.75" customHeight="1">
      <c r="L62" s="105">
        <f t="shared" si="11"/>
      </c>
      <c r="M62" s="106">
        <f t="shared" si="12"/>
      </c>
    </row>
    <row r="63" spans="12:13" ht="12.75" customHeight="1">
      <c r="L63" s="105">
        <f t="shared" si="11"/>
      </c>
      <c r="M63" s="106">
        <f t="shared" si="12"/>
      </c>
    </row>
    <row r="64" spans="12:13" ht="12.75" customHeight="1">
      <c r="L64" s="105">
        <f t="shared" si="11"/>
      </c>
      <c r="M64" s="106">
        <f t="shared" si="12"/>
      </c>
    </row>
    <row r="65" spans="12:13" ht="12.75" customHeight="1">
      <c r="L65" s="138">
        <f t="shared" si="11"/>
      </c>
      <c r="M65" s="139">
        <f t="shared" si="12"/>
      </c>
    </row>
    <row r="66" ht="12.75" customHeight="1"/>
    <row r="67" ht="12.75" customHeight="1"/>
  </sheetData>
  <sheetProtection sheet="1" objects="1" scenarios="1"/>
  <printOptions/>
  <pageMargins left="0.75" right="0.75" top="1" bottom="1" header="0.5" footer="0.5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AE1813"/>
  <sheetViews>
    <sheetView showGridLines="0" zoomScale="95" zoomScaleNormal="95" workbookViewId="0" topLeftCell="A1">
      <selection activeCell="C16" sqref="C16"/>
    </sheetView>
  </sheetViews>
  <sheetFormatPr defaultColWidth="9.140625" defaultRowHeight="12.75"/>
  <cols>
    <col min="1" max="1" width="3.421875" style="55" customWidth="1"/>
    <col min="2" max="2" width="9.140625" style="55" customWidth="1"/>
    <col min="3" max="3" width="8.28125" style="55" customWidth="1"/>
    <col min="4" max="15" width="9.140625" style="55" customWidth="1"/>
    <col min="16" max="16" width="10.7109375" style="55" customWidth="1"/>
    <col min="17" max="28" width="9.140625" style="55" customWidth="1"/>
    <col min="29" max="29" width="12.57421875" style="55" customWidth="1"/>
    <col min="30" max="30" width="8.8515625" style="58" hidden="1" customWidth="1"/>
    <col min="31" max="16384" width="9.140625" style="55" customWidth="1"/>
  </cols>
  <sheetData>
    <row r="1" spans="1:31" ht="21.75" customHeight="1">
      <c r="A1" s="20"/>
      <c r="B1" s="54" t="s">
        <v>92</v>
      </c>
      <c r="C1" s="20"/>
      <c r="D1" s="20"/>
      <c r="E1" s="20"/>
      <c r="F1" s="20"/>
      <c r="G1" s="79" t="s">
        <v>116</v>
      </c>
      <c r="H1" s="20"/>
      <c r="I1" s="20"/>
      <c r="J1" s="20"/>
      <c r="K1" s="20"/>
      <c r="L1" s="20"/>
      <c r="M1" s="20"/>
      <c r="AA1" s="20"/>
      <c r="AD1" s="56"/>
      <c r="AE1" s="57"/>
    </row>
    <row r="2" spans="1:31" ht="18" customHeight="1">
      <c r="A2" s="20"/>
      <c r="B2" s="20"/>
      <c r="C2" s="23" t="s">
        <v>63</v>
      </c>
      <c r="D2" s="24"/>
      <c r="E2" s="20"/>
      <c r="F2" s="20"/>
      <c r="G2" s="20"/>
      <c r="H2" s="22"/>
      <c r="I2" s="20"/>
      <c r="J2" s="20"/>
      <c r="K2" s="20"/>
      <c r="L2" s="20"/>
      <c r="M2" s="20"/>
      <c r="AA2" s="20"/>
      <c r="AD2" s="56"/>
      <c r="AE2" s="57"/>
    </row>
    <row r="3" spans="1:31" ht="15" customHeight="1">
      <c r="A3" s="20"/>
      <c r="B3" s="20"/>
      <c r="C3" s="182" t="s">
        <v>131</v>
      </c>
      <c r="D3" s="25" t="s">
        <v>140</v>
      </c>
      <c r="E3" s="34"/>
      <c r="F3" s="22"/>
      <c r="G3" s="22"/>
      <c r="H3" s="22"/>
      <c r="I3" s="22"/>
      <c r="J3" s="22"/>
      <c r="K3" s="22"/>
      <c r="L3" s="22"/>
      <c r="M3" s="22"/>
      <c r="AA3" s="20"/>
      <c r="AD3" s="56"/>
      <c r="AE3" s="57"/>
    </row>
    <row r="4" spans="1:31" ht="15" customHeight="1">
      <c r="A4" s="20"/>
      <c r="B4" s="20"/>
      <c r="C4" s="58"/>
      <c r="D4" s="27" t="s">
        <v>142</v>
      </c>
      <c r="E4" s="34"/>
      <c r="F4" s="34"/>
      <c r="G4" s="34"/>
      <c r="H4" s="22"/>
      <c r="I4" s="34"/>
      <c r="J4" s="20"/>
      <c r="K4" s="20"/>
      <c r="L4" s="20"/>
      <c r="M4" s="20"/>
      <c r="AA4" s="20"/>
      <c r="AD4" s="56"/>
      <c r="AE4" s="57"/>
    </row>
    <row r="5" spans="1:31" ht="15" customHeight="1">
      <c r="A5" s="22"/>
      <c r="B5" s="22"/>
      <c r="C5" s="182" t="s">
        <v>132</v>
      </c>
      <c r="D5" s="22" t="s">
        <v>116</v>
      </c>
      <c r="E5" s="22"/>
      <c r="F5" s="22"/>
      <c r="G5" s="22"/>
      <c r="H5" s="22"/>
      <c r="I5" s="22"/>
      <c r="J5" s="22"/>
      <c r="K5" s="22"/>
      <c r="L5" s="22"/>
      <c r="M5" s="22"/>
      <c r="AA5" s="20"/>
      <c r="AD5" s="56"/>
      <c r="AE5" s="57"/>
    </row>
    <row r="6" spans="1:31" ht="1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0"/>
      <c r="AD6" s="56"/>
      <c r="AE6" s="57"/>
    </row>
    <row r="7" spans="1:31" ht="1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0"/>
      <c r="AD7" s="56"/>
      <c r="AE7" s="57"/>
    </row>
    <row r="8" spans="1:31" ht="1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0"/>
      <c r="AD8" s="56"/>
      <c r="AE8" s="57"/>
    </row>
    <row r="9" spans="1:31" ht="15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0"/>
      <c r="AD9" s="56"/>
      <c r="AE9" s="57"/>
    </row>
    <row r="10" spans="1:31" ht="1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0"/>
      <c r="AD10" s="56"/>
      <c r="AE10" s="57"/>
    </row>
    <row r="11" spans="1:31" ht="15" customHeigh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8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59"/>
      <c r="AC11" s="59"/>
      <c r="AD11" s="56"/>
      <c r="AE11" s="57"/>
    </row>
    <row r="12" spans="2:31" ht="24" customHeight="1" thickBot="1">
      <c r="B12" s="160" t="s">
        <v>134</v>
      </c>
      <c r="C12" s="160"/>
      <c r="D12" s="161"/>
      <c r="E12" s="161"/>
      <c r="F12" s="161"/>
      <c r="G12" s="161"/>
      <c r="H12" s="161"/>
      <c r="I12" s="161"/>
      <c r="J12" s="161"/>
      <c r="K12" s="199" t="s">
        <v>135</v>
      </c>
      <c r="L12" s="196" t="str">
        <f>cat0</f>
        <v>Menial</v>
      </c>
      <c r="N12" s="160" t="s">
        <v>141</v>
      </c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B12" s="80" t="s">
        <v>106</v>
      </c>
      <c r="AC12" s="61"/>
      <c r="AD12" s="56"/>
      <c r="AE12" s="57"/>
    </row>
    <row r="13" spans="2:31" ht="13.5" thickTop="1">
      <c r="B13" s="22"/>
      <c r="C13" s="195" t="s">
        <v>139</v>
      </c>
      <c r="D13" s="194"/>
      <c r="E13" s="194"/>
      <c r="F13" s="194"/>
      <c r="G13" s="194"/>
      <c r="H13" s="194"/>
      <c r="I13" s="194"/>
      <c r="J13" s="194"/>
      <c r="K13" s="194"/>
      <c r="L13" s="194"/>
      <c r="N13" s="22"/>
      <c r="O13" s="22"/>
      <c r="AB13" s="22"/>
      <c r="AC13" s="22"/>
      <c r="AD13" s="56"/>
      <c r="AE13" s="57"/>
    </row>
    <row r="14" spans="2:31" ht="12.75">
      <c r="B14" s="162" t="s">
        <v>0</v>
      </c>
      <c r="C14" s="162" t="s">
        <v>30</v>
      </c>
      <c r="D14" s="201" t="str">
        <f>cat1</f>
        <v>BlueCol</v>
      </c>
      <c r="E14" s="201" t="str">
        <f>IF(cat2="","",cat2)</f>
        <v>Craft</v>
      </c>
      <c r="F14" s="201" t="str">
        <f>IF(cat3="","",cat3)</f>
        <v>WhiteCol</v>
      </c>
      <c r="G14" s="201" t="str">
        <f>IF(cat4="","",cat4)</f>
        <v>prof</v>
      </c>
      <c r="H14" s="201">
        <f>IF(cat5="","",cat5)</f>
      </c>
      <c r="I14" s="201">
        <f>IF(cat6="","",cat6)</f>
      </c>
      <c r="J14" s="201">
        <f>IF(cat7="","",cat7)</f>
      </c>
      <c r="K14" s="201">
        <f>IF(cat8="","",cat8)</f>
      </c>
      <c r="L14" s="201">
        <f>IF(cat9="","",cat9)</f>
      </c>
      <c r="N14" s="162" t="s">
        <v>0</v>
      </c>
      <c r="O14" s="162" t="s">
        <v>30</v>
      </c>
      <c r="P14" s="162" t="s">
        <v>93</v>
      </c>
      <c r="Q14" s="201" t="str">
        <f>cat0</f>
        <v>Menial</v>
      </c>
      <c r="R14" s="201" t="str">
        <f>cat1</f>
        <v>BlueCol</v>
      </c>
      <c r="S14" s="201" t="str">
        <f>IF(cat2="","",cat2)</f>
        <v>Craft</v>
      </c>
      <c r="T14" s="201" t="str">
        <f>IF(cat3="","",cat3)</f>
        <v>WhiteCol</v>
      </c>
      <c r="U14" s="201" t="str">
        <f>IF(cat4="","",cat4)</f>
        <v>prof</v>
      </c>
      <c r="V14" s="201">
        <f>IF(cat5="","",cat5)</f>
      </c>
      <c r="W14" s="201">
        <f>IF(cat6="","",cat6)</f>
      </c>
      <c r="X14" s="201">
        <f>IF(cat7="","",cat7)</f>
      </c>
      <c r="Y14" s="201">
        <f>IF(cat8="","",cat8)</f>
      </c>
      <c r="Z14" s="201">
        <f>IF(cat9="","",cat9)</f>
      </c>
      <c r="AB14" s="32" t="s">
        <v>0</v>
      </c>
      <c r="AC14" s="171" t="s">
        <v>10</v>
      </c>
      <c r="AD14" s="56"/>
      <c r="AE14" s="57"/>
    </row>
    <row r="15" spans="28:31" ht="12.75">
      <c r="AB15" s="22"/>
      <c r="AC15" s="22"/>
      <c r="AD15" s="56"/>
      <c r="AE15" s="57"/>
    </row>
    <row r="16" spans="2:31" ht="12.75">
      <c r="B16" s="191" t="str">
        <f>RHV</f>
        <v>WHITE</v>
      </c>
      <c r="C16" s="197" t="s">
        <v>138</v>
      </c>
      <c r="D16" s="200">
        <f>IF(OR(D$14="",$C16=""),"",IF($C16="U",EXP(e1b),IF($C16="S",EXP(e1b*sd),"")))</f>
        <v>3.4435537327842143</v>
      </c>
      <c r="E16" s="200">
        <f>IF(OR(E$14="",$C16=""),"",IF($C16="U",EXP(e2b),IF($C16="S",EXP(e2b*sd),"")))</f>
        <v>1.6037483369959737</v>
      </c>
      <c r="F16" s="200">
        <f>IF(OR(F$14="",$C16=""),"",IF($C16="U",EXP(e3b),IF($C16="S",EXP(e3b*sd),"")))</f>
        <v>4.813310013768997</v>
      </c>
      <c r="G16" s="200">
        <f>IF(OR(G$14="",$C16=""),"",IF($C16="U",EXP(e4b),IF($C16="S",EXP(e4b*sd),"")))</f>
        <v>5.89618776177567</v>
      </c>
      <c r="H16" s="200">
        <f>IF(OR(H$14="",$C16=""),"",IF($C16="U",EXP(e5b),IF($C16="S",EXP(e5b*sd),"")))</f>
      </c>
      <c r="I16" s="200">
        <f>IF(OR(I$14="",$C16=""),"",IF($C16="U",EXP(e6b),IF($C16="S",EXP(e6b*sd),"")))</f>
      </c>
      <c r="J16" s="200">
        <f>IF(OR(J$14="",$C16=""),"",IF($C16="U",EXP(e7b),IF($C16="S",EXP(e7b*sd),"")))</f>
      </c>
      <c r="K16" s="200">
        <f>IF(OR(K$14="",$C16=""),"",IF($C16="U",EXP(e8b),IF($C16="S",EXP(e8b*sd),"")))</f>
      </c>
      <c r="L16" s="200">
        <f>IF(OR(L$14="",$C16=""),"",IF($C16="U",EXP(e9b),IF($C16="S",EXP(e9b*sd),"")))</f>
      </c>
      <c r="N16" s="163" t="str">
        <f>AB16</f>
        <v>WHITE</v>
      </c>
      <c r="O16" s="164" t="s">
        <v>31</v>
      </c>
      <c r="P16" s="165">
        <f>IF(AD16="b",mabs(Q16,R16,S16,T16,U16,V16,W16,X16,Y16,Z16)/COUNT(Q16:Z16),"")</f>
        <v>0.11623584276276666</v>
      </c>
      <c r="Q16" s="165">
        <f>IF(AD16="b",mlm1(Tech!AN16)-mlm1(Tech!AC16),"")</f>
        <v>-0.1308552013496401</v>
      </c>
      <c r="R16" s="165">
        <f>IF(AD16="b",mlmx(Tech!AO16,Tech!AN16)-mlmx(Tech!AD16,Tech!AC16),"")</f>
        <v>0.04981781886029568</v>
      </c>
      <c r="S16" s="165">
        <f>IF(AND(AD16="b",S14&lt;&gt;""),mlmx(Tech!AP16,Tech!AN16)-mlmx(Tech!AE16,Tech!AC16),"")</f>
        <v>-0.15973440555727658</v>
      </c>
      <c r="T16" s="165">
        <f>IF(AND(AD16="b",T14&lt;&gt;""),mlmx(Tech!AQ16,Tech!AN16)-mlmx(Tech!AF16,Tech!AC16),"")</f>
        <v>0.07971008208216368</v>
      </c>
      <c r="U16" s="165">
        <f>IF(AND(AD16="b",U14&lt;&gt;""),mlmx(Tech!AR16,Tech!AN16)-mlmx(Tech!AG16,Tech!AC16),"")</f>
        <v>0.16106170596445724</v>
      </c>
      <c r="V16" s="165">
        <f>IF(AND(AD16="b",V14&lt;&gt;""),mlmx(Tech!AS16,Tech!AN16)-mlmx(Tech!AH16,Tech!AC16),"")</f>
      </c>
      <c r="W16" s="165">
        <f>IF(AND(AD16="b",W14&lt;&gt;""),mlmx(Tech!AT16,Tech!AN16)-mlmx(Tech!AI16,Tech!AC16),"")</f>
      </c>
      <c r="X16" s="165">
        <f>IF(AND(AD16="b",X14&lt;&gt;""),mlmx(Tech!AU16,Tech!AN16)-mlmx(Tech!AJ16,Tech!AC16),"")</f>
      </c>
      <c r="Y16" s="165">
        <f>IF(AND(AD16="b",Y14&lt;&gt;""),mlmx(Tech!AV16,Tech!AN16)-mlmx(Tech!AK16,Tech!AC16),"")</f>
      </c>
      <c r="Z16" s="165">
        <f>IF(AND(AD16="b",Z14&lt;&gt;""),mlmx(Tech!AW16,Tech!AN16)-mlmx(Tech!AL16,Tech!AC16),"")</f>
      </c>
      <c r="AB16" s="102" t="str">
        <f>IF(RHV="","",RHV)</f>
        <v>WHITE</v>
      </c>
      <c r="AC16" s="155">
        <f>IF(RHV="","",Bval)</f>
        <v>1</v>
      </c>
      <c r="AD16" s="47" t="str">
        <f>IF(Vtype="","",Vtype)</f>
        <v>B</v>
      </c>
      <c r="AE16" s="57"/>
    </row>
    <row r="17" spans="2:31" ht="12.75">
      <c r="B17" s="191" t="str">
        <f>IF(RHV="","---",RHV)</f>
        <v>ED</v>
      </c>
      <c r="C17" s="197" t="s">
        <v>137</v>
      </c>
      <c r="D17" s="202">
        <f aca="true" t="shared" si="0" ref="D17:D65">IF(OR(D$14="",$C17=""),"",IF($C17="U",EXP(e1b),IF($C17="S",EXP(e1b*sd),"")))</f>
        <v>0.7460612179523654</v>
      </c>
      <c r="E17" s="202">
        <f aca="true" t="shared" si="1" ref="E17:E65">IF(OR(E$14="",$C17=""),"",IF($C17="U",EXP(e2b),IF($C17="S",EXP(e2b*sd),"")))</f>
        <v>1.3184017764169558</v>
      </c>
      <c r="F17" s="202">
        <f aca="true" t="shared" si="2" ref="F17:F65">IF(OR(F$14="",$C17=""),"",IF($C17="U",EXP(e3b),IF($C17="S",EXP(e3b*sd),"")))</f>
        <v>2.830783086921873</v>
      </c>
      <c r="G17" s="202">
        <f aca="true" t="shared" si="3" ref="G17:G65">IF(OR(G$14="",$C17=""),"",IF($C17="U",EXP(e4b),IF($C17="S",EXP(e4b*sd),"")))</f>
        <v>9.92275165253811</v>
      </c>
      <c r="H17" s="202">
        <f aca="true" t="shared" si="4" ref="H17:H65">IF(OR(H$14="",$C17=""),"",IF($C17="U",EXP(e5b),IF($C17="S",EXP(e5b*sd),"")))</f>
      </c>
      <c r="I17" s="202">
        <f aca="true" t="shared" si="5" ref="I17:I65">IF(OR(I$14="",$C17=""),"",IF($C17="U",EXP(e6b),IF($C17="S",EXP(e6b*sd),"")))</f>
      </c>
      <c r="J17" s="202">
        <f aca="true" t="shared" si="6" ref="J17:J65">IF(OR(J$14="",$C17=""),"",IF($C17="U",EXP(e7b),IF($C17="S",EXP(e7b*sd),"")))</f>
      </c>
      <c r="K17" s="202">
        <f aca="true" t="shared" si="7" ref="K17:K65">IF(OR(K$14="",$C17=""),"",IF($C17="U",EXP(e8b),IF($C17="S",EXP(e8b*sd),"")))</f>
      </c>
      <c r="L17" s="202">
        <f aca="true" t="shared" si="8" ref="L17:L65">IF(OR(L$14="",$C17=""),"",IF($C17="U",EXP(e9b),IF($C17="S",EXP(e9b*sd),"")))</f>
      </c>
      <c r="N17" s="166"/>
      <c r="O17" s="167" t="s">
        <v>103</v>
      </c>
      <c r="P17" s="165">
        <f>IF(AD16="c",mabs(Q17,R17,S17,T17,U17,V17,W17,X17,Y17,Z17)/COUNT(Q17:Z17),"")</f>
      </c>
      <c r="Q17" s="165">
        <f>IF(AD16="c",mlm1(Tech!BJ16)-mlm1(Tech!AY16),"")</f>
      </c>
      <c r="R17" s="165">
        <f>IF(AD16="c",mlmx(Tech!BK16,Tech!BJ16)-mlmx(Tech!AZ16,Tech!AY16),"")</f>
      </c>
      <c r="S17" s="165">
        <f>IF(AND(AD16="c",S14&lt;&gt;""),mlmx(Tech!BL16,Tech!BJ16)-mlmx(Tech!BA16,Tech!AY16),"")</f>
      </c>
      <c r="T17" s="165">
        <f>IF(AND(AD16="c",T14&lt;&gt;""),mlmx(Tech!BM16,Tech!BJ16)-mlmx(Tech!BB16,Tech!AY16),"")</f>
      </c>
      <c r="U17" s="165">
        <f>IF(AND(AD16="c",U14&lt;&gt;""),mlmx(Tech!BN16,Tech!BJ16)-mlmx(Tech!BC16,Tech!AY16),"")</f>
      </c>
      <c r="V17" s="165">
        <f>IF(AND(AD16="c",V14&lt;&gt;""),mlmx(Tech!BO16,Tech!BJ16)-mlmx(Tech!BD16,Tech!AY16),"")</f>
      </c>
      <c r="W17" s="165">
        <f>IF(AND(AD16="c",W14&lt;&gt;""),mlmx(Tech!BP16,Tech!BJ16)-mlmx(Tech!BE16,Tech!AY16),"")</f>
      </c>
      <c r="X17" s="165">
        <f>IF(AND(AD16="c",X14&lt;&gt;""),mlmx(Tech!BQ16,Tech!BJ16)-mlmx(Tech!BF16,Tech!AY16),"")</f>
      </c>
      <c r="Y17" s="165">
        <f>IF(AND(AD16="c",Y14&lt;&gt;""),mlmx(Tech!BR16,Tech!BJ16)-mlmx(Tech!BG16,Tech!AY16),"")</f>
      </c>
      <c r="Z17" s="165">
        <f>IF(AND(AD16="c",Z14&lt;&gt;""),mlmx(Tech!BS16,Tech!BJ16)-mlmx(Tech!BH16,Tech!AY16),"")</f>
      </c>
      <c r="AB17" s="105" t="str">
        <f aca="true" t="shared" si="9" ref="AB17:AB65">IF(RHV="","",RHV)</f>
        <v>ED</v>
      </c>
      <c r="AC17" s="106">
        <f aca="true" t="shared" si="10" ref="AC17:AC65">IF(RHV="","",Bval)</f>
        <v>13.09496</v>
      </c>
      <c r="AD17" s="47" t="str">
        <f aca="true" t="shared" si="11" ref="AD17:AD65">IF(Vtype="","",Vtype)</f>
        <v>C</v>
      </c>
      <c r="AE17" s="57"/>
    </row>
    <row r="18" spans="2:31" ht="12.75">
      <c r="B18" s="192" t="str">
        <f aca="true" t="shared" si="12" ref="B18:B65">IF(RHV="","---",RHV)</f>
        <v>EXPER</v>
      </c>
      <c r="C18" s="197" t="s">
        <v>137</v>
      </c>
      <c r="D18" s="202">
        <f t="shared" si="0"/>
        <v>1.068125166140749</v>
      </c>
      <c r="E18" s="202">
        <f t="shared" si="1"/>
        <v>1.4717440562639217</v>
      </c>
      <c r="F18" s="202">
        <f t="shared" si="2"/>
        <v>1.6208271779833339</v>
      </c>
      <c r="G18" s="202">
        <f t="shared" si="3"/>
        <v>1.6448739373055457</v>
      </c>
      <c r="H18" s="202">
        <f t="shared" si="4"/>
      </c>
      <c r="I18" s="202">
        <f t="shared" si="5"/>
      </c>
      <c r="J18" s="202">
        <f t="shared" si="6"/>
      </c>
      <c r="K18" s="202">
        <f t="shared" si="7"/>
      </c>
      <c r="L18" s="202">
        <f t="shared" si="8"/>
      </c>
      <c r="N18" s="166"/>
      <c r="O18" s="167" t="s">
        <v>104</v>
      </c>
      <c r="P18" s="165">
        <f>IF(AD16="c",mabs(Q18,R18,S18,T18,U18,V18,W18,X18,Y18,Z18)/COUNT(Q18:Z18),"")</f>
      </c>
      <c r="Q18" s="165">
        <f>IF(AD16="c",mlm1(Tech!CF16)-mlm1(Tech!BU16),"")</f>
      </c>
      <c r="R18" s="165">
        <f>IF(AD16="c",mlmx(Tech!CG16,Tech!CF16)-mlmx(Tech!BV16,Tech!BU16),"")</f>
      </c>
      <c r="S18" s="165">
        <f>IF(AND(AD16="c",S14&lt;&gt;""),mlmx(Tech!CH16,Tech!CF16)-mlmx(Tech!BW16,Tech!BU16),"")</f>
      </c>
      <c r="T18" s="165">
        <f>IF(AND(AD16="c",T14&lt;&gt;""),mlmx(Tech!CI16,Tech!CF16)-mlmx(Tech!BX16,Tech!BU16),"")</f>
      </c>
      <c r="U18" s="165">
        <f>IF(AND(AD16="c",U14&lt;&gt;""),mlmx(Tech!CJ16,Tech!CF16)-mlmx(Tech!BY16,Tech!BU16),"")</f>
      </c>
      <c r="V18" s="165">
        <f>IF(AND(AD16="c",V14&lt;&gt;""),mlmx(Tech!CK16,Tech!CF16)-mlmx(Tech!BZ16,Tech!BU16),"")</f>
      </c>
      <c r="W18" s="165">
        <f>IF(AND(AD16="c",W14&lt;&gt;""),mlmx(Tech!CL16,Tech!CF16)-mlmx(Tech!CA16,Tech!BU16),"")</f>
      </c>
      <c r="X18" s="165">
        <f>IF(AND(AD16="c",X14&lt;&gt;""),mlmx(Tech!CM16,Tech!CF16)-mlmx(Tech!CB16,Tech!BU16),"")</f>
      </c>
      <c r="Y18" s="165">
        <f>IF(AND(AD16="c",Y14&lt;&gt;""),mlmx(Tech!CN16,Tech!CF16)-mlmx(Tech!CC16,Tech!BU16),"")</f>
      </c>
      <c r="Z18" s="165">
        <f>IF(AND(AD16="c",Z14&lt;&gt;""),mlmx(Tech!CO16,Tech!CF16)-mlmx(Tech!CD16,Tech!BU16),"")</f>
      </c>
      <c r="AB18" s="105" t="str">
        <f t="shared" si="9"/>
        <v>EXPER</v>
      </c>
      <c r="AC18" s="106">
        <f t="shared" si="10"/>
        <v>20.50148</v>
      </c>
      <c r="AD18" s="47" t="str">
        <f t="shared" si="11"/>
        <v>C</v>
      </c>
      <c r="AE18" s="57"/>
    </row>
    <row r="19" spans="2:31" ht="12.75">
      <c r="B19" s="192" t="str">
        <f t="shared" si="12"/>
        <v>---</v>
      </c>
      <c r="C19" s="197"/>
      <c r="D19" s="202">
        <f t="shared" si="0"/>
      </c>
      <c r="E19" s="202">
        <f t="shared" si="1"/>
      </c>
      <c r="F19" s="202">
        <f t="shared" si="2"/>
      </c>
      <c r="G19" s="202">
        <f t="shared" si="3"/>
      </c>
      <c r="H19" s="202">
        <f t="shared" si="4"/>
      </c>
      <c r="I19" s="202">
        <f t="shared" si="5"/>
      </c>
      <c r="J19" s="202">
        <f t="shared" si="6"/>
      </c>
      <c r="K19" s="202">
        <f t="shared" si="7"/>
      </c>
      <c r="L19" s="202">
        <f t="shared" si="8"/>
      </c>
      <c r="N19" s="166"/>
      <c r="O19" s="167" t="s">
        <v>32</v>
      </c>
      <c r="P19" s="165">
        <f>IF(AD16="c",mabs(Q19,R19,S19,T19,U19,V19,W19,X19,Y19,Z19)/COUNT(Q19:Z19),"")</f>
      </c>
      <c r="Q19" s="165">
        <f>IF(AD16="c",mlm1(Tech!DB16)-mlm1(Tech!DO16),"")</f>
      </c>
      <c r="R19" s="165">
        <f>IF(AD16="c",mlmx(Tech!DC16,Tech!DB16)-mlmx(Tech!CR16,Tech!CQ16),"")</f>
      </c>
      <c r="S19" s="165">
        <f>IF(AND(AD16="c",S14&lt;&gt;""),mlmx(Tech!DD16,Tech!DB16)-mlmx(Tech!CS16,Tech!DO16),"")</f>
      </c>
      <c r="T19" s="165">
        <f>IF(AND(AD16="c",T14&lt;&gt;""),mlmx(Tech!DE16,Tech!DB16)-mlmx(Tech!CT16,Tech!DO16),"")</f>
      </c>
      <c r="U19" s="165">
        <f>IF(AND(AD16="c",U14&lt;&gt;""),mlmx(Tech!DF16,Tech!DB16)-mlmx(Tech!CU16,Tech!DO16),"")</f>
      </c>
      <c r="V19" s="165">
        <f>IF(AND(AD16="c",V14&lt;&gt;""),mlmx(Tech!DG16,Tech!DB16)-mlmx(Tech!CV16,Tech!DO16),"")</f>
      </c>
      <c r="W19" s="165">
        <f>IF(AND(AD16="c",W14&lt;&gt;""),mlmx(Tech!DH16,Tech!DB16)-mlmx(Tech!CW16,Tech!DO16),"")</f>
      </c>
      <c r="X19" s="165">
        <f>IF(AND(AD16="c",X14&lt;&gt;""),mlmx(Tech!DI16,Tech!DB16)-mlmx(Tech!CX16,Tech!DO16),"")</f>
      </c>
      <c r="Y19" s="165">
        <f>IF(AND(AD16="c",Y14&lt;&gt;""),mlmx(Tech!DJ16,Tech!DB16)-mlmx(Tech!CY16,Tech!DO16),"")</f>
      </c>
      <c r="Z19" s="165">
        <f>IF(AND(AD16="c",Z14&lt;&gt;""),mlmx(Tech!DK16,Tech!DB16)-mlmx(Tech!CZ16,Tech!DO16),"")</f>
      </c>
      <c r="AB19" s="105">
        <f t="shared" si="9"/>
      </c>
      <c r="AC19" s="106">
        <f t="shared" si="10"/>
      </c>
      <c r="AD19" s="47">
        <f t="shared" si="11"/>
      </c>
      <c r="AE19" s="57"/>
    </row>
    <row r="20" spans="2:31" ht="12.75">
      <c r="B20" s="192" t="str">
        <f t="shared" si="12"/>
        <v>---</v>
      </c>
      <c r="C20" s="197"/>
      <c r="D20" s="202">
        <f t="shared" si="0"/>
      </c>
      <c r="E20" s="202">
        <f t="shared" si="1"/>
      </c>
      <c r="F20" s="202">
        <f t="shared" si="2"/>
      </c>
      <c r="G20" s="202">
        <f t="shared" si="3"/>
      </c>
      <c r="H20" s="202">
        <f t="shared" si="4"/>
      </c>
      <c r="I20" s="202">
        <f t="shared" si="5"/>
      </c>
      <c r="J20" s="202">
        <f t="shared" si="6"/>
      </c>
      <c r="K20" s="202">
        <f t="shared" si="7"/>
      </c>
      <c r="L20" s="202">
        <f t="shared" si="8"/>
      </c>
      <c r="N20" s="166" t="str">
        <f>IF(AB17="","",AB17)</f>
        <v>ED</v>
      </c>
      <c r="O20" s="164" t="s">
        <v>31</v>
      </c>
      <c r="P20" s="165">
        <f>IF(AD17="b",mabs(Q20,R20,S20,T20,U20,V20,W20,X20,Y20,Z20)/COUNT(Q20:Z20),"")</f>
      </c>
      <c r="Q20" s="165">
        <f>IF(AD17="b",mlm1(Tech!AN17)-mlm1(Tech!AC17),"")</f>
      </c>
      <c r="R20" s="165">
        <f>IF(AD17="b",mlmx(Tech!AO17,Tech!AN17)-mlmx(Tech!AD17,Tech!AC17),"")</f>
      </c>
      <c r="S20" s="165">
        <f>IF(AND(AD17="b",S14&lt;&gt;""),mlmx(Tech!AP17,Tech!AN17)-mlmx(Tech!AE17,Tech!AC17),"")</f>
      </c>
      <c r="T20" s="165">
        <f>IF(AND(AD17="b",T14&lt;&gt;""),mlmx(Tech!AQ17,Tech!AN17)-mlmx(Tech!AF17,Tech!AC17),"")</f>
      </c>
      <c r="U20" s="165">
        <f>IF(AND(AD17="b",U14&lt;&gt;""),mlmx(Tech!AR17,Tech!AN17)-mlmx(Tech!AG17,Tech!AC17),"")</f>
      </c>
      <c r="V20" s="165">
        <f>IF(AND(AD17="b",V14&lt;&gt;""),mlmx(Tech!AS17,Tech!AN17)-mlmx(Tech!AH17,Tech!AC17),"")</f>
      </c>
      <c r="W20" s="165">
        <f>IF(AND(AD17="b",W14&lt;&gt;""),mlmx(Tech!AT17,Tech!AN17)-mlmx(Tech!AI17,Tech!AC17),"")</f>
      </c>
      <c r="X20" s="165">
        <f>IF(AND(AD17="b",X14&lt;&gt;""),mlmx(Tech!AU17,Tech!AN17)-mlmx(Tech!AJ17,Tech!AC17),"")</f>
      </c>
      <c r="Y20" s="165">
        <f>IF(AND(AD17="b",Y14&lt;&gt;""),mlmx(Tech!AV17,Tech!AN17)-mlmx(Tech!AK17,Tech!AC17),"")</f>
      </c>
      <c r="Z20" s="165">
        <f>IF(AND(AD17="b",Z14&lt;&gt;""),mlmx(Tech!AW17,Tech!AN17)-mlmx(Tech!AL17,Tech!AC17),"")</f>
      </c>
      <c r="AB20" s="105">
        <f t="shared" si="9"/>
      </c>
      <c r="AC20" s="106">
        <f t="shared" si="10"/>
      </c>
      <c r="AD20" s="47">
        <f t="shared" si="11"/>
      </c>
      <c r="AE20" s="57"/>
    </row>
    <row r="21" spans="2:31" ht="12.75">
      <c r="B21" s="192" t="str">
        <f t="shared" si="12"/>
        <v>---</v>
      </c>
      <c r="C21" s="197"/>
      <c r="D21" s="202">
        <f t="shared" si="0"/>
      </c>
      <c r="E21" s="202">
        <f t="shared" si="1"/>
      </c>
      <c r="F21" s="202">
        <f t="shared" si="2"/>
      </c>
      <c r="G21" s="202">
        <f t="shared" si="3"/>
      </c>
      <c r="H21" s="202">
        <f t="shared" si="4"/>
      </c>
      <c r="I21" s="202">
        <f t="shared" si="5"/>
      </c>
      <c r="J21" s="202">
        <f t="shared" si="6"/>
      </c>
      <c r="K21" s="202">
        <f t="shared" si="7"/>
      </c>
      <c r="L21" s="202">
        <f t="shared" si="8"/>
      </c>
      <c r="N21" s="166"/>
      <c r="O21" s="167" t="s">
        <v>103</v>
      </c>
      <c r="P21" s="165">
        <f>IF(AD17="c",mabs(Q21,R21,S21,T21,U21,V21,W21,X21,Y21,Z21)/COUNT(Q21:Z21),"")</f>
        <v>0.3927737857391793</v>
      </c>
      <c r="Q21" s="165">
        <f>IF(AD17="c",mlm1(Tech!BJ17)-mlm1(Tech!AY17),"")</f>
        <v>-0.12026325480355579</v>
      </c>
      <c r="R21" s="165">
        <f>IF(AD17="c",mlmx(Tech!BK17,Tech!BJ17)-mlmx(Tech!AZ17,Tech!AY17),"")</f>
        <v>-0.7169919020220518</v>
      </c>
      <c r="S21" s="165">
        <f>IF(AND(AD17="c",S14&lt;&gt;""),mlmx(Tech!BL17,Tech!BJ17)-mlmx(Tech!BA17,Tech!AY17),"")</f>
        <v>-0.14467930752234073</v>
      </c>
      <c r="T21" s="165">
        <f>IF(AND(AD17="c",T14&lt;&gt;""),mlmx(Tech!BM17,Tech!BJ17)-mlmx(Tech!BB17,Tech!AY17),"")</f>
        <v>0.023466250323672697</v>
      </c>
      <c r="U21" s="165">
        <f>IF(AND(AD17="c",U14&lt;&gt;""),mlmx(Tech!BN17,Tech!BJ17)-mlmx(Tech!BC17,Tech!AY17),"")</f>
        <v>0.9584682140242755</v>
      </c>
      <c r="V21" s="165">
        <f>IF(AND(AD17="c",V14&lt;&gt;""),mlmx(Tech!BO17,Tech!BJ17)-mlmx(Tech!BD17,Tech!AY17),"")</f>
      </c>
      <c r="W21" s="165">
        <f>IF(AND(AD17="c",W14&lt;&gt;""),mlmx(Tech!BP17,Tech!BJ17)-mlmx(Tech!BE17,Tech!AY17),"")</f>
      </c>
      <c r="X21" s="165">
        <f>IF(AND(AD17="c",X14&lt;&gt;""),mlmx(Tech!BQ17,Tech!BJ17)-mlmx(Tech!BF17,Tech!AY17),"")</f>
      </c>
      <c r="Y21" s="165">
        <f>IF(AND(AD17="c",Y14&lt;&gt;""),mlmx(Tech!BR17,Tech!BJ17)-mlmx(Tech!BG17,Tech!AY17),"")</f>
      </c>
      <c r="Z21" s="165">
        <f>IF(AND(AD17="c",Z14&lt;&gt;""),mlmx(Tech!BS17,Tech!BJ17)-mlmx(Tech!BH17,Tech!AY17),"")</f>
      </c>
      <c r="AB21" s="105">
        <f t="shared" si="9"/>
      </c>
      <c r="AC21" s="106">
        <f t="shared" si="10"/>
      </c>
      <c r="AD21" s="47">
        <f t="shared" si="11"/>
      </c>
      <c r="AE21" s="57"/>
    </row>
    <row r="22" spans="2:31" ht="12.75">
      <c r="B22" s="192" t="str">
        <f t="shared" si="12"/>
        <v>---</v>
      </c>
      <c r="C22" s="197"/>
      <c r="D22" s="202">
        <f t="shared" si="0"/>
      </c>
      <c r="E22" s="202">
        <f t="shared" si="1"/>
      </c>
      <c r="F22" s="202">
        <f t="shared" si="2"/>
      </c>
      <c r="G22" s="202">
        <f t="shared" si="3"/>
      </c>
      <c r="H22" s="202">
        <f t="shared" si="4"/>
      </c>
      <c r="I22" s="202">
        <f t="shared" si="5"/>
      </c>
      <c r="J22" s="202">
        <f t="shared" si="6"/>
      </c>
      <c r="K22" s="202">
        <f t="shared" si="7"/>
      </c>
      <c r="L22" s="202">
        <f t="shared" si="8"/>
      </c>
      <c r="N22" s="166"/>
      <c r="O22" s="167" t="s">
        <v>104</v>
      </c>
      <c r="P22" s="165">
        <f>IF(AD17="c",mabs(Q22,R22,S22,T22,U22,V22,W22,X22,Y22,Z22)/COUNT(Q22:Z22),"")</f>
        <v>0.05954944933364077</v>
      </c>
      <c r="Q22" s="165">
        <f>IF(AD17="c",mlm1(Tech!CF17)-mlm1(Tech!BU17),"")</f>
        <v>-0.02439192921127717</v>
      </c>
      <c r="R22" s="165">
        <f>IF(AD17="c",mlmx(Tech!CG17,Tech!CF17)-mlmx(Tech!BV17,Tech!BU17),"")</f>
        <v>-0.07132470270895402</v>
      </c>
      <c r="S22" s="165">
        <f>IF(AND(AD17="c",S14&lt;&gt;""),mlmx(Tech!CH17,Tech!CF17)-mlmx(Tech!BW17,Tech!BU17),"")</f>
        <v>-0.053156991413870786</v>
      </c>
      <c r="T22" s="165">
        <f>IF(AND(AD17="c",T14&lt;&gt;""),mlmx(Tech!CI17,Tech!CF17)-mlmx(Tech!BX17,Tech!BU17),"")</f>
        <v>0.01095784837876207</v>
      </c>
      <c r="U22" s="165">
        <f>IF(AND(AD17="c",U14&lt;&gt;""),mlmx(Tech!CJ17,Tech!CF17)-mlmx(Tech!BY17,Tech!BU17),"")</f>
        <v>0.13791577495533977</v>
      </c>
      <c r="V22" s="165">
        <f>IF(AND(AD17="c",V14&lt;&gt;""),mlmx(Tech!CK17,Tech!CF17)-mlmx(Tech!BZ17,Tech!BU17),"")</f>
      </c>
      <c r="W22" s="165">
        <f>IF(AND(AD17="c",W14&lt;&gt;""),mlmx(Tech!CL17,Tech!CF17)-mlmx(Tech!CA17,Tech!BU17),"")</f>
      </c>
      <c r="X22" s="165">
        <f>IF(AND(AD17="c",X14&lt;&gt;""),mlmx(Tech!CM17,Tech!CF17)-mlmx(Tech!CB17,Tech!BU17),"")</f>
      </c>
      <c r="Y22" s="165">
        <f>IF(AND(AD17="c",Y14&lt;&gt;""),mlmx(Tech!CN17,Tech!CF17)-mlmx(Tech!CC17,Tech!BU17),"")</f>
      </c>
      <c r="Z22" s="165">
        <f>IF(AND(AD17="c",Z14&lt;&gt;""),mlmx(Tech!CO17,Tech!CF17)-mlmx(Tech!CD17,Tech!BU17),"")</f>
      </c>
      <c r="AB22" s="105">
        <f t="shared" si="9"/>
      </c>
      <c r="AC22" s="106">
        <f t="shared" si="10"/>
      </c>
      <c r="AD22" s="47">
        <f t="shared" si="11"/>
      </c>
      <c r="AE22" s="57"/>
    </row>
    <row r="23" spans="2:31" ht="12.75">
      <c r="B23" s="192" t="str">
        <f t="shared" si="12"/>
        <v>---</v>
      </c>
      <c r="C23" s="197"/>
      <c r="D23" s="202">
        <f t="shared" si="0"/>
      </c>
      <c r="E23" s="202">
        <f t="shared" si="1"/>
      </c>
      <c r="F23" s="202">
        <f t="shared" si="2"/>
      </c>
      <c r="G23" s="202">
        <f t="shared" si="3"/>
      </c>
      <c r="H23" s="202">
        <f t="shared" si="4"/>
      </c>
      <c r="I23" s="202">
        <f t="shared" si="5"/>
      </c>
      <c r="J23" s="202">
        <f t="shared" si="6"/>
      </c>
      <c r="K23" s="202">
        <f t="shared" si="7"/>
      </c>
      <c r="L23" s="202">
        <f t="shared" si="8"/>
      </c>
      <c r="N23" s="166"/>
      <c r="O23" s="167" t="s">
        <v>32</v>
      </c>
      <c r="P23" s="165">
        <f>IF(AD17="c",mabs(Q23,R23,S23,T23,U23,V23,W23,X23,Y23,Z23)/COUNT(Q23:Z23),"")</f>
        <v>0.1662678101733454</v>
      </c>
      <c r="Q23" s="165">
        <f>IF(AD17="c",mlm1(Tech!DB17)-mlm1(Tech!CQ17),"")</f>
        <v>-0.06769606307482005</v>
      </c>
      <c r="R23" s="165">
        <f>IF(AD17="c",mlmx(Tech!DC17,Tech!DB17)-mlmx(Tech!CR17,Tech!CQ17),"")</f>
        <v>-0.20124402955253712</v>
      </c>
      <c r="S23" s="165">
        <f>IF(AND(AD17="c",S14&lt;&gt;""),mlmx(Tech!DD17,Tech!DB17)-mlmx(Tech!CS17,Tech!CQ17),"")</f>
        <v>-0.1467294328060064</v>
      </c>
      <c r="T23" s="165">
        <f>IF(AND(AD17="c",T14&lt;&gt;""),mlmx(Tech!DE17,Tech!DB17)-mlmx(Tech!CT17,Tech!CQ17),"")</f>
        <v>0.026629115356296806</v>
      </c>
      <c r="U23" s="165">
        <f>IF(AND(AD17="c",U14&lt;&gt;""),mlmx(Tech!DF17,Tech!DB17)-mlmx(Tech!CU17,Tech!CQ17),"")</f>
        <v>0.38904041007706675</v>
      </c>
      <c r="V23" s="165">
        <f>IF(AND(AD17="c",V14&lt;&gt;""),mlmx(Tech!DG17,Tech!DB17)-mlmx(Tech!CV17,Tech!CQ17),"")</f>
      </c>
      <c r="W23" s="165">
        <f>IF(AND(AD17="c",W14&lt;&gt;""),mlmx(Tech!DH17,Tech!DB17)-mlmx(Tech!CW17,Tech!CQ17),"")</f>
      </c>
      <c r="X23" s="165">
        <f>IF(AND(AD17="c",X14&lt;&gt;""),mlmx(Tech!DI17,Tech!DB17)-mlmx(Tech!CX17,Tech!CQ17),"")</f>
      </c>
      <c r="Y23" s="165">
        <f>IF(AND(AD17="c",Y14&lt;&gt;""),mlmx(Tech!DJ17,Tech!DB17)-mlmx(Tech!CY17,Tech!CQ17),"")</f>
      </c>
      <c r="Z23" s="165">
        <f>IF(AND(AD17="c",Z14&lt;&gt;""),mlmx(Tech!DK17,Tech!DB17)-mlmx(Tech!CZ17,Tech!CQ17),"")</f>
      </c>
      <c r="AB23" s="105">
        <f t="shared" si="9"/>
      </c>
      <c r="AC23" s="106">
        <f t="shared" si="10"/>
      </c>
      <c r="AD23" s="47">
        <f t="shared" si="11"/>
      </c>
      <c r="AE23" s="57"/>
    </row>
    <row r="24" spans="2:31" ht="12.75">
      <c r="B24" s="192" t="str">
        <f t="shared" si="12"/>
        <v>---</v>
      </c>
      <c r="C24" s="197"/>
      <c r="D24" s="202">
        <f t="shared" si="0"/>
      </c>
      <c r="E24" s="202">
        <f t="shared" si="1"/>
      </c>
      <c r="F24" s="202">
        <f t="shared" si="2"/>
      </c>
      <c r="G24" s="202">
        <f t="shared" si="3"/>
      </c>
      <c r="H24" s="202">
        <f t="shared" si="4"/>
      </c>
      <c r="I24" s="202">
        <f t="shared" si="5"/>
      </c>
      <c r="J24" s="202">
        <f t="shared" si="6"/>
      </c>
      <c r="K24" s="202">
        <f t="shared" si="7"/>
      </c>
      <c r="L24" s="202">
        <f t="shared" si="8"/>
      </c>
      <c r="N24" s="166" t="str">
        <f>IF(AB18="","",AB18)</f>
        <v>EXPER</v>
      </c>
      <c r="O24" s="164" t="s">
        <v>31</v>
      </c>
      <c r="P24" s="165">
        <f>IF(AD18="b",mabs(Q24,R24,S24,T24,U24,V24,W24,X24,Y24,Z24)/COUNT(Q24:Z24),"")</f>
      </c>
      <c r="Q24" s="165">
        <f>IF(AD18="b",mlm1(Tech!AN18)-mlm1(Tech!AC18),"")</f>
      </c>
      <c r="R24" s="165">
        <f>IF(AD18="b",mlmx(Tech!AO18,Tech!AN18)-mlmx(Tech!AD18,Tech!AC18),"")</f>
      </c>
      <c r="S24" s="165">
        <f>IF(AND(AD18="b",S14&lt;&gt;""),mlmx(Tech!AP18,Tech!AN18)-mlmx(Tech!AE18,Tech!AC18),"")</f>
      </c>
      <c r="T24" s="165">
        <f>IF(AND(AD18="b",T14&lt;&gt;""),mlmx(Tech!AQ18,Tech!AN18)-mlmx(Tech!AF18,Tech!AC18),"")</f>
      </c>
      <c r="U24" s="165">
        <f>IF(AND(AD18="b",U14&lt;&gt;""),mlmx(Tech!AR18,Tech!AN18)-mlmx(Tech!AG18,Tech!AC18),"")</f>
      </c>
      <c r="V24" s="165">
        <f>IF(AND(AD18="b",V14&lt;&gt;""),mlmx(Tech!AS18,Tech!AN18)-mlmx(Tech!AH18,Tech!AC18),"")</f>
      </c>
      <c r="W24" s="165">
        <f>IF(AND(AD18="b",W14&lt;&gt;""),mlmx(Tech!AT18,Tech!AN18)-mlmx(Tech!AI18,Tech!AC18),"")</f>
      </c>
      <c r="X24" s="165">
        <f>IF(AND(AD18="b",X14&lt;&gt;""),mlmx(Tech!AU18,Tech!AN18)-mlmx(Tech!AJ18,Tech!AC18),"")</f>
      </c>
      <c r="Y24" s="165">
        <f>IF(AND(AD18="b",Y14&lt;&gt;""),mlmx(Tech!AV18,Tech!AN18)-mlmx(Tech!AK18,Tech!AC18),"")</f>
      </c>
      <c r="Z24" s="165">
        <f>IF(AND(AD18="b",Z14&lt;&gt;""),mlmx(Tech!AW18,Tech!AN18)-mlmx(Tech!AL18,Tech!AC18),"")</f>
      </c>
      <c r="AB24" s="105">
        <f t="shared" si="9"/>
      </c>
      <c r="AC24" s="106">
        <f t="shared" si="10"/>
      </c>
      <c r="AD24" s="47">
        <f t="shared" si="11"/>
      </c>
      <c r="AE24" s="57"/>
    </row>
    <row r="25" spans="2:31" ht="12.75">
      <c r="B25" s="192" t="str">
        <f t="shared" si="12"/>
        <v>---</v>
      </c>
      <c r="C25" s="197"/>
      <c r="D25" s="202">
        <f t="shared" si="0"/>
      </c>
      <c r="E25" s="202">
        <f t="shared" si="1"/>
      </c>
      <c r="F25" s="202">
        <f t="shared" si="2"/>
      </c>
      <c r="G25" s="202">
        <f t="shared" si="3"/>
      </c>
      <c r="H25" s="202">
        <f t="shared" si="4"/>
      </c>
      <c r="I25" s="202">
        <f t="shared" si="5"/>
      </c>
      <c r="J25" s="202">
        <f t="shared" si="6"/>
      </c>
      <c r="K25" s="202">
        <f t="shared" si="7"/>
      </c>
      <c r="L25" s="202">
        <f t="shared" si="8"/>
      </c>
      <c r="N25" s="166"/>
      <c r="O25" s="167" t="s">
        <v>103</v>
      </c>
      <c r="P25" s="165">
        <f>IF(AD18="c",mabs(Q25,R25,S25,T25,U25,V25,W25,X25,Y25,Z25)/COUNT(Q25:Z25),"")</f>
        <v>0.12021670783861418</v>
      </c>
      <c r="Q25" s="165">
        <f>IF(AD18="c",mlm1(Tech!BJ18)-mlm1(Tech!AY18),"")</f>
        <v>-0.1064186732150769</v>
      </c>
      <c r="R25" s="165">
        <f>IF(AD18="c",mlmx(Tech!BK18,Tech!BJ18)-mlmx(Tech!AZ18,Tech!AY18),"")</f>
        <v>-0.19412309638145858</v>
      </c>
      <c r="S25" s="165">
        <f>IF(AND(AD18="c",S14&lt;&gt;""),mlmx(Tech!BL18,Tech!BJ18)-mlmx(Tech!BA18,Tech!AY18),"")</f>
        <v>0.024032648629629894</v>
      </c>
      <c r="T25" s="165">
        <f>IF(AND(AD18="c",T14&lt;&gt;""),mlmx(Tech!BM18,Tech!BJ18)-mlmx(Tech!BB18,Tech!AY18),"")</f>
        <v>0.09446470511106897</v>
      </c>
      <c r="U25" s="165">
        <f>IF(AND(AD18="c",U14&lt;&gt;""),mlmx(Tech!BN18,Tech!BJ18)-mlmx(Tech!BC18,Tech!AY18),"")</f>
        <v>0.18204441585583658</v>
      </c>
      <c r="V25" s="165">
        <f>IF(AND(AD18="c",V14&lt;&gt;""),mlmx(Tech!BO18,Tech!BJ18)-mlmx(Tech!BD18,Tech!AY18),"")</f>
      </c>
      <c r="W25" s="165">
        <f>IF(AND(AD18="c",W14&lt;&gt;""),mlmx(Tech!BP18,Tech!BJ18)-mlmx(Tech!BE18,Tech!AY18),"")</f>
      </c>
      <c r="X25" s="165">
        <f>IF(AND(AD18="c",X14&lt;&gt;""),mlmx(Tech!BQ18,Tech!BJ18)-mlmx(Tech!BF18,Tech!AY18),"")</f>
      </c>
      <c r="Y25" s="165">
        <f>IF(AND(AD18="c",Y14&lt;&gt;""),mlmx(Tech!BR18,Tech!BJ18)-mlmx(Tech!BG18,Tech!AY18),"")</f>
      </c>
      <c r="Z25" s="165">
        <f>IF(AND(AD18="c",Z14&lt;&gt;""),mlmx(Tech!BS18,Tech!BJ18)-mlmx(Tech!BH18,Tech!AY18),"")</f>
      </c>
      <c r="AB25" s="105">
        <f t="shared" si="9"/>
      </c>
      <c r="AC25" s="106">
        <f t="shared" si="10"/>
      </c>
      <c r="AD25" s="47">
        <f t="shared" si="11"/>
      </c>
      <c r="AE25" s="57"/>
    </row>
    <row r="26" spans="2:31" ht="12.75">
      <c r="B26" s="192" t="str">
        <f t="shared" si="12"/>
        <v>---</v>
      </c>
      <c r="C26" s="197"/>
      <c r="D26" s="202">
        <f t="shared" si="0"/>
      </c>
      <c r="E26" s="202">
        <f t="shared" si="1"/>
      </c>
      <c r="F26" s="202">
        <f t="shared" si="2"/>
      </c>
      <c r="G26" s="202">
        <f t="shared" si="3"/>
      </c>
      <c r="H26" s="202">
        <f t="shared" si="4"/>
      </c>
      <c r="I26" s="202">
        <f t="shared" si="5"/>
      </c>
      <c r="J26" s="202">
        <f t="shared" si="6"/>
      </c>
      <c r="K26" s="202">
        <f t="shared" si="7"/>
      </c>
      <c r="L26" s="202">
        <f t="shared" si="8"/>
      </c>
      <c r="N26" s="166"/>
      <c r="O26" s="167" t="s">
        <v>104</v>
      </c>
      <c r="P26" s="165">
        <f>IF(AD18="c",mabs(Q26,R26,S26,T26,U26,V26,W26,X26,Y26,Z26)/COUNT(Q26:Z26),"")</f>
        <v>0.002307582097985339</v>
      </c>
      <c r="Q26" s="165">
        <f>IF(AD18="c",mlm1(Tech!CF18)-mlm1(Tech!BU18),"")</f>
        <v>-0.002100229043033225</v>
      </c>
      <c r="R26" s="165">
        <f>IF(AD18="c",mlmx(Tech!CG18,Tech!CF18)-mlmx(Tech!BV18,Tech!BU18),"")</f>
        <v>-0.003668726201930178</v>
      </c>
      <c r="S26" s="165">
        <f>IF(AND(AD18="c",S14&lt;&gt;""),mlmx(Tech!CH18,Tech!CF18)-mlmx(Tech!BW18,Tech!BU18),"")</f>
        <v>0.0009080675009915939</v>
      </c>
      <c r="T26" s="165">
        <f>IF(AND(AD18="c",T14&lt;&gt;""),mlmx(Tech!CI18,Tech!CF18)-mlmx(Tech!BX18,Tech!BU18),"")</f>
        <v>0.0017024555295773736</v>
      </c>
      <c r="U26" s="165">
        <f>IF(AND(AD18="c",U14&lt;&gt;""),mlmx(Tech!CJ18,Tech!CF18)-mlmx(Tech!BY18,Tech!BU18),"")</f>
        <v>0.0031584322143943244</v>
      </c>
      <c r="V26" s="165">
        <f>IF(AND(AD18="c",V14&lt;&gt;""),mlmx(Tech!CK18,Tech!CF18)-mlmx(Tech!BZ18,Tech!BU18),"")</f>
      </c>
      <c r="W26" s="165">
        <f>IF(AND(AD18="c",W14&lt;&gt;""),mlmx(Tech!CL18,Tech!CF18)-mlmx(Tech!CA18,Tech!BU18),"")</f>
      </c>
      <c r="X26" s="165">
        <f>IF(AND(AD18="c",X14&lt;&gt;""),mlmx(Tech!CM18,Tech!CF18)-mlmx(Tech!CB18,Tech!BU18),"")</f>
      </c>
      <c r="Y26" s="165">
        <f>IF(AND(AD18="c",Y14&lt;&gt;""),mlmx(Tech!CN18,Tech!CF18)-mlmx(Tech!CC18,Tech!BU18),"")</f>
      </c>
      <c r="Z26" s="165">
        <f>IF(AND(AD18="c",Z14&lt;&gt;""),mlmx(Tech!CO18,Tech!CF18)-mlmx(Tech!CD18,Tech!BU18),"")</f>
      </c>
      <c r="AB26" s="105">
        <f t="shared" si="9"/>
      </c>
      <c r="AC26" s="106">
        <f t="shared" si="10"/>
      </c>
      <c r="AD26" s="47">
        <f t="shared" si="11"/>
      </c>
      <c r="AE26" s="57"/>
    </row>
    <row r="27" spans="2:31" ht="12.75">
      <c r="B27" s="192" t="str">
        <f t="shared" si="12"/>
        <v>---</v>
      </c>
      <c r="C27" s="197"/>
      <c r="D27" s="202">
        <f t="shared" si="0"/>
      </c>
      <c r="E27" s="202">
        <f t="shared" si="1"/>
      </c>
      <c r="F27" s="202">
        <f t="shared" si="2"/>
      </c>
      <c r="G27" s="202">
        <f t="shared" si="3"/>
      </c>
      <c r="H27" s="202">
        <f t="shared" si="4"/>
      </c>
      <c r="I27" s="202">
        <f t="shared" si="5"/>
      </c>
      <c r="J27" s="202">
        <f t="shared" si="6"/>
      </c>
      <c r="K27" s="202">
        <f t="shared" si="7"/>
      </c>
      <c r="L27" s="202">
        <f t="shared" si="8"/>
      </c>
      <c r="N27" s="166"/>
      <c r="O27" s="167" t="s">
        <v>32</v>
      </c>
      <c r="P27" s="165">
        <f>IF(AD18="c",mabs(Q27,R27,S27,T27,U27,V27,W27,X27,Y27,Z27)/COUNT(Q27:Z27),"")</f>
        <v>0.03216740233430908</v>
      </c>
      <c r="Q27" s="165">
        <f>IF(AD18="c",mlm1(Tech!DB18)-mlm1(Tech!CQ18),"")</f>
        <v>-0.029311282579007322</v>
      </c>
      <c r="R27" s="165">
        <f>IF(AD18="c",mlmx(Tech!DC18,Tech!DB18)-mlmx(Tech!CR18,Tech!CQ18),"")</f>
        <v>-0.051107223256765394</v>
      </c>
      <c r="S27" s="165">
        <f>IF(AND(AD18="c",S14&lt;&gt;""),mlmx(Tech!DD18,Tech!DB18)-mlmx(Tech!CS18,Tech!CQ18),"")</f>
        <v>0.012687631210455075</v>
      </c>
      <c r="T27" s="165">
        <f>IF(AND(AD18="c",T14&lt;&gt;""),mlmx(Tech!DE18,Tech!DB18)-mlmx(Tech!CT18,Tech!CQ18),"")</f>
        <v>0.02372134562997144</v>
      </c>
      <c r="U27" s="165">
        <f>IF(AND(AD18="c",U14&lt;&gt;""),mlmx(Tech!DF18,Tech!DB18)-mlmx(Tech!CU18,Tech!CQ18),"")</f>
        <v>0.04400952899534616</v>
      </c>
      <c r="V27" s="165">
        <f>IF(AND(AD18="c",V14&lt;&gt;""),mlmx(Tech!DG18,Tech!DB18)-mlmx(Tech!CV18,Tech!CQ18),"")</f>
      </c>
      <c r="W27" s="165">
        <f>IF(AND(AD18="c",W14&lt;&gt;""),mlmx(Tech!DH18,Tech!DB18)-mlmx(Tech!CW18,Tech!CQ18),"")</f>
      </c>
      <c r="X27" s="165">
        <f>IF(AND(AD18="c",X14&lt;&gt;""),mlmx(Tech!DI18,Tech!DB18)-mlmx(Tech!CX18,Tech!CQ18),"")</f>
      </c>
      <c r="Y27" s="165">
        <f>IF(AND(AD18="c",Y14&lt;&gt;""),mlmx(Tech!DJ18,Tech!DB18)-mlmx(Tech!CY18,Tech!CQ18),"")</f>
      </c>
      <c r="Z27" s="165">
        <f>IF(AND(AD18="c",Z14&lt;&gt;""),mlmx(Tech!DK18,Tech!DB18)-mlmx(Tech!CZ18,Tech!CQ18),"")</f>
      </c>
      <c r="AB27" s="105">
        <f t="shared" si="9"/>
      </c>
      <c r="AC27" s="106">
        <f t="shared" si="10"/>
      </c>
      <c r="AD27" s="47">
        <f t="shared" si="11"/>
      </c>
      <c r="AE27" s="57"/>
    </row>
    <row r="28" spans="2:31" ht="12.75">
      <c r="B28" s="192" t="str">
        <f t="shared" si="12"/>
        <v>---</v>
      </c>
      <c r="C28" s="197"/>
      <c r="D28" s="202">
        <f t="shared" si="0"/>
      </c>
      <c r="E28" s="202">
        <f t="shared" si="1"/>
      </c>
      <c r="F28" s="202">
        <f t="shared" si="2"/>
      </c>
      <c r="G28" s="202">
        <f t="shared" si="3"/>
      </c>
      <c r="H28" s="202">
        <f t="shared" si="4"/>
      </c>
      <c r="I28" s="202">
        <f t="shared" si="5"/>
      </c>
      <c r="J28" s="202">
        <f t="shared" si="6"/>
      </c>
      <c r="K28" s="202">
        <f t="shared" si="7"/>
      </c>
      <c r="L28" s="202">
        <f t="shared" si="8"/>
      </c>
      <c r="N28" s="166">
        <f>IF(AB19="","",AB19)</f>
      </c>
      <c r="O28" s="164" t="s">
        <v>31</v>
      </c>
      <c r="P28" s="165">
        <f>IF(AD19="b",mabs(Q28,R28,S28,T28,U28,V28,W28,X28,Y28,Z28)/COUNT(Q28:Z28),"")</f>
      </c>
      <c r="Q28" s="165">
        <f>IF(AD19="b",mlm1(Tech!AN19)-mlm1(Tech!AC19),"")</f>
      </c>
      <c r="R28" s="165">
        <f>IF(AD19="b",mlmx(Tech!AO19,Tech!AN19)-mlmx(Tech!AD19,Tech!AC19),"")</f>
      </c>
      <c r="S28" s="165">
        <f>IF(AND(AD19="b",S14&lt;&gt;""),mlmx(Tech!AP19,Tech!AN19)-mlmx(Tech!AE19,Tech!AC19),"")</f>
      </c>
      <c r="T28" s="165">
        <f>IF(AND(AD19="b",T14&lt;&gt;""),mlmx(Tech!AQ19,Tech!AN19)-mlmx(Tech!AF19,Tech!AC19),"")</f>
      </c>
      <c r="U28" s="165">
        <f>IF(AND(AD19="b",U14&lt;&gt;""),mlmx(Tech!AR19,Tech!AN19)-mlmx(Tech!AG19,Tech!AC19),"")</f>
      </c>
      <c r="V28" s="165">
        <f>IF(AND(AD19="b",V14&lt;&gt;""),mlmx(Tech!AS19,Tech!AN19)-mlmx(Tech!AH19,Tech!AC19),"")</f>
      </c>
      <c r="W28" s="165">
        <f>IF(AND(AD19="b",W14&lt;&gt;""),mlmx(Tech!AT19,Tech!AN19)-mlmx(Tech!AI19,Tech!AC19),"")</f>
      </c>
      <c r="X28" s="165">
        <f>IF(AND(AD19="b",X14&lt;&gt;""),mlmx(Tech!AU19,Tech!AN19)-mlmx(Tech!AJ19,Tech!AC19),"")</f>
      </c>
      <c r="Y28" s="165">
        <f>IF(AND(AD19="b",Y14&lt;&gt;""),mlmx(Tech!AV19,Tech!AN19)-mlmx(Tech!AK19,Tech!AC19),"")</f>
      </c>
      <c r="Z28" s="165">
        <f>IF(AND(AD19="b",Z14&lt;&gt;""),mlmx(Tech!AW19,Tech!AN19)-mlmx(Tech!AL19,Tech!AC19),"")</f>
      </c>
      <c r="AB28" s="105">
        <f t="shared" si="9"/>
      </c>
      <c r="AC28" s="106">
        <f t="shared" si="10"/>
      </c>
      <c r="AD28" s="47">
        <f t="shared" si="11"/>
      </c>
      <c r="AE28" s="57"/>
    </row>
    <row r="29" spans="2:31" ht="12.75">
      <c r="B29" s="192" t="str">
        <f t="shared" si="12"/>
        <v>---</v>
      </c>
      <c r="C29" s="197"/>
      <c r="D29" s="202">
        <f t="shared" si="0"/>
      </c>
      <c r="E29" s="202">
        <f t="shared" si="1"/>
      </c>
      <c r="F29" s="202">
        <f t="shared" si="2"/>
      </c>
      <c r="G29" s="202">
        <f t="shared" si="3"/>
      </c>
      <c r="H29" s="202">
        <f t="shared" si="4"/>
      </c>
      <c r="I29" s="202">
        <f t="shared" si="5"/>
      </c>
      <c r="J29" s="202">
        <f t="shared" si="6"/>
      </c>
      <c r="K29" s="202">
        <f t="shared" si="7"/>
      </c>
      <c r="L29" s="202">
        <f t="shared" si="8"/>
      </c>
      <c r="N29" s="166"/>
      <c r="O29" s="167" t="s">
        <v>103</v>
      </c>
      <c r="P29" s="165">
        <f>IF(AD19="c",mabs(Q29,R29,S29,T29,U29,V29,W29,X29,Y29,Z29)/COUNT(Q29:Z29),"")</f>
      </c>
      <c r="Q29" s="165">
        <f>IF(AD19="c",mlm1(Tech!BJ19)-mlm1(Tech!AY19),"")</f>
      </c>
      <c r="R29" s="165">
        <f>IF(AD19="c",mlmx(Tech!BK19,Tech!BJ19)-mlmx(Tech!AZ19,Tech!AY19),"")</f>
      </c>
      <c r="S29" s="165">
        <f>IF(AND(AD19="c",S14&lt;&gt;""),mlmx(Tech!BL19,Tech!BJ19)-mlmx(Tech!BA19,Tech!AY19),"")</f>
      </c>
      <c r="T29" s="165">
        <f>IF(AND(AD19="c",T14&lt;&gt;""),mlmx(Tech!BM19,Tech!BJ19)-mlmx(Tech!BB19,Tech!AY19),"")</f>
      </c>
      <c r="U29" s="165">
        <f>IF(AND(AD19="c",U14&lt;&gt;""),mlmx(Tech!BN19,Tech!BJ19)-mlmx(Tech!BC19,Tech!AY19),"")</f>
      </c>
      <c r="V29" s="165">
        <f>IF(AND(AD19="c",V14&lt;&gt;""),mlmx(Tech!BO19,Tech!BJ19)-mlmx(Tech!BD19,Tech!AY19),"")</f>
      </c>
      <c r="W29" s="165">
        <f>IF(AND(AD19="c",W14&lt;&gt;""),mlmx(Tech!BP19,Tech!BJ19)-mlmx(Tech!BE19,Tech!AY19),"")</f>
      </c>
      <c r="X29" s="165">
        <f>IF(AND(AD19="c",X14&lt;&gt;""),mlmx(Tech!BQ19,Tech!BJ19)-mlmx(Tech!BF19,Tech!AY19),"")</f>
      </c>
      <c r="Y29" s="165">
        <f>IF(AND(AD19="c",Y14&lt;&gt;""),mlmx(Tech!BR19,Tech!BJ19)-mlmx(Tech!BG19,Tech!AY19),"")</f>
      </c>
      <c r="Z29" s="165">
        <f>IF(AND(AD19="c",Z14&lt;&gt;""),mlmx(Tech!BS19,Tech!BJ19)-mlmx(Tech!BH19,Tech!AY19),"")</f>
      </c>
      <c r="AB29" s="105">
        <f t="shared" si="9"/>
      </c>
      <c r="AC29" s="106">
        <f t="shared" si="10"/>
      </c>
      <c r="AD29" s="47">
        <f t="shared" si="11"/>
      </c>
      <c r="AE29" s="57"/>
    </row>
    <row r="30" spans="2:31" ht="12.75">
      <c r="B30" s="192" t="str">
        <f t="shared" si="12"/>
        <v>---</v>
      </c>
      <c r="C30" s="197"/>
      <c r="D30" s="202">
        <f t="shared" si="0"/>
      </c>
      <c r="E30" s="202">
        <f t="shared" si="1"/>
      </c>
      <c r="F30" s="202">
        <f t="shared" si="2"/>
      </c>
      <c r="G30" s="202">
        <f t="shared" si="3"/>
      </c>
      <c r="H30" s="202">
        <f t="shared" si="4"/>
      </c>
      <c r="I30" s="202">
        <f t="shared" si="5"/>
      </c>
      <c r="J30" s="202">
        <f t="shared" si="6"/>
      </c>
      <c r="K30" s="202">
        <f t="shared" si="7"/>
      </c>
      <c r="L30" s="202">
        <f t="shared" si="8"/>
      </c>
      <c r="N30" s="166"/>
      <c r="O30" s="167" t="s">
        <v>104</v>
      </c>
      <c r="P30" s="165">
        <f>IF(AD19="c",mabs(Q30,R30,S30,T30,U30,V30,W30,X30,Y30,Z30)/COUNT(Q30:Z30),"")</f>
      </c>
      <c r="Q30" s="165">
        <f>IF(AD19="c",mlm1(Tech!CF19)-mlm1(Tech!BU19),"")</f>
      </c>
      <c r="R30" s="165">
        <f>IF(AD19="c",mlmx(Tech!CG19,Tech!CF19)-mlmx(Tech!BV19,Tech!BU19),"")</f>
      </c>
      <c r="S30" s="165">
        <f>IF(AND(AD19="c",S14&lt;&gt;""),mlmx(Tech!CH19,Tech!CF19)-mlmx(Tech!BW19,Tech!BU19),"")</f>
      </c>
      <c r="T30" s="165">
        <f>IF(AND(AD19="c",T14&lt;&gt;""),mlmx(Tech!CI19,Tech!CF19)-mlmx(Tech!BX19,Tech!BU19),"")</f>
      </c>
      <c r="U30" s="165">
        <f>IF(AND(AD19="c",U14&lt;&gt;""),mlmx(Tech!CJ19,Tech!CF19)-mlmx(Tech!BY19,Tech!BU19),"")</f>
      </c>
      <c r="V30" s="165">
        <f>IF(AND(AD19="c",V14&lt;&gt;""),mlmx(Tech!CK19,Tech!CF19)-mlmx(Tech!BZ19,Tech!BU19),"")</f>
      </c>
      <c r="W30" s="165">
        <f>IF(AND(AD19="c",W14&lt;&gt;""),mlmx(Tech!CL19,Tech!CF19)-mlmx(Tech!CA19,Tech!BU19),"")</f>
      </c>
      <c r="X30" s="165">
        <f>IF(AND(AD19="c",X14&lt;&gt;""),mlmx(Tech!CM19,Tech!CF19)-mlmx(Tech!CB19,Tech!BU19),"")</f>
      </c>
      <c r="Y30" s="165">
        <f>IF(AND(AD19="c",Y14&lt;&gt;""),mlmx(Tech!CN19,Tech!CF19)-mlmx(Tech!CC19,Tech!BU19),"")</f>
      </c>
      <c r="Z30" s="165">
        <f>IF(AND(AD19="c",Z14&lt;&gt;""),mlmx(Tech!CO19,Tech!CF19)-mlmx(Tech!CD19,Tech!BU19),"")</f>
      </c>
      <c r="AB30" s="105">
        <f t="shared" si="9"/>
      </c>
      <c r="AC30" s="106">
        <f t="shared" si="10"/>
      </c>
      <c r="AD30" s="47">
        <f t="shared" si="11"/>
      </c>
      <c r="AE30" s="57"/>
    </row>
    <row r="31" spans="2:31" ht="12.75">
      <c r="B31" s="192" t="str">
        <f t="shared" si="12"/>
        <v>---</v>
      </c>
      <c r="C31" s="197"/>
      <c r="D31" s="202">
        <f t="shared" si="0"/>
      </c>
      <c r="E31" s="202">
        <f t="shared" si="1"/>
      </c>
      <c r="F31" s="202">
        <f t="shared" si="2"/>
      </c>
      <c r="G31" s="202">
        <f t="shared" si="3"/>
      </c>
      <c r="H31" s="202">
        <f t="shared" si="4"/>
      </c>
      <c r="I31" s="202">
        <f t="shared" si="5"/>
      </c>
      <c r="J31" s="202">
        <f t="shared" si="6"/>
      </c>
      <c r="K31" s="202">
        <f t="shared" si="7"/>
      </c>
      <c r="L31" s="202">
        <f t="shared" si="8"/>
      </c>
      <c r="N31" s="166"/>
      <c r="O31" s="167" t="s">
        <v>32</v>
      </c>
      <c r="P31" s="165">
        <f>IF(AD19="c",mabs(Q31,R31,S31,T31,U31,V31,W31,X31,Y31,Z31)/COUNT(Q31:Z31),"")</f>
      </c>
      <c r="Q31" s="165">
        <f>IF(AD19="c",mlm1(Tech!DB19)-mlm1(Tech!CQ19),"")</f>
      </c>
      <c r="R31" s="165">
        <f>IF(AD19="c",mlmx(Tech!DC19,Tech!DB19)-mlmx(Tech!CR19,Tech!CQ19),"")</f>
      </c>
      <c r="S31" s="165">
        <f>IF(AND(AD19="c",S14&lt;&gt;""),mlmx(Tech!DD19,Tech!DB19)-mlmx(Tech!CS19,Tech!CQ19),"")</f>
      </c>
      <c r="T31" s="165">
        <f>IF(AND(AD19="c",T14&lt;&gt;""),mlmx(Tech!DE19,Tech!DB19)-mlmx(Tech!CT19,Tech!CQ19),"")</f>
      </c>
      <c r="U31" s="165">
        <f>IF(AND(AD19="c",U14&lt;&gt;""),mlmx(Tech!DF19,Tech!DB19)-mlmx(Tech!CU19,Tech!CQ19),"")</f>
      </c>
      <c r="V31" s="165">
        <f>IF(AND(AD19="c",V14&lt;&gt;""),mlmx(Tech!DG19,Tech!DB19)-mlmx(Tech!CV19,Tech!CQ19),"")</f>
      </c>
      <c r="W31" s="165">
        <f>IF(AND(AD19="c",W14&lt;&gt;""),mlmx(Tech!DH19,Tech!DB19)-mlmx(Tech!CW19,Tech!CQ19),"")</f>
      </c>
      <c r="X31" s="165">
        <f>IF(AND(AD19="c",X14&lt;&gt;""),mlmx(Tech!DI19,Tech!DB19)-mlmx(Tech!CX19,Tech!CQ19),"")</f>
      </c>
      <c r="Y31" s="165">
        <f>IF(AND(AD19="c",Y14&lt;&gt;""),mlmx(Tech!DJ19,Tech!DB19)-mlmx(Tech!CY19,Tech!CQ19),"")</f>
      </c>
      <c r="Z31" s="165">
        <f>IF(AND(AD19="c",Z14&lt;&gt;""),mlmx(Tech!DK19,Tech!DB19)-mlmx(Tech!CZ19,Tech!CQ19),"")</f>
      </c>
      <c r="AB31" s="105">
        <f t="shared" si="9"/>
      </c>
      <c r="AC31" s="106">
        <f t="shared" si="10"/>
      </c>
      <c r="AD31" s="47">
        <f t="shared" si="11"/>
      </c>
      <c r="AE31" s="57"/>
    </row>
    <row r="32" spans="2:31" ht="12.75">
      <c r="B32" s="192" t="str">
        <f t="shared" si="12"/>
        <v>---</v>
      </c>
      <c r="C32" s="197"/>
      <c r="D32" s="202">
        <f t="shared" si="0"/>
      </c>
      <c r="E32" s="202">
        <f t="shared" si="1"/>
      </c>
      <c r="F32" s="202">
        <f t="shared" si="2"/>
      </c>
      <c r="G32" s="202">
        <f t="shared" si="3"/>
      </c>
      <c r="H32" s="202">
        <f t="shared" si="4"/>
      </c>
      <c r="I32" s="202">
        <f t="shared" si="5"/>
      </c>
      <c r="J32" s="202">
        <f t="shared" si="6"/>
      </c>
      <c r="K32" s="202">
        <f t="shared" si="7"/>
      </c>
      <c r="L32" s="202">
        <f t="shared" si="8"/>
      </c>
      <c r="N32" s="166">
        <f>IF(AB20="","",AB20)</f>
      </c>
      <c r="O32" s="164" t="s">
        <v>31</v>
      </c>
      <c r="P32" s="165">
        <f>IF(AD20="b",mabs(Q32,R32,S32,T32,U32,V32,W32,X32,Y32,Z32)/COUNT(Q32:Z32),"")</f>
      </c>
      <c r="Q32" s="165">
        <f>IF(AD20="b",mlm1(Tech!AN20)-mlm1(Tech!AC20),"")</f>
      </c>
      <c r="R32" s="165">
        <f>IF(AD20="b",mlmx(Tech!AO20,Tech!AN20)-mlmx(Tech!AD20,Tech!AC20),"")</f>
      </c>
      <c r="S32" s="165">
        <f>IF(AND(AD20="b",S14&lt;&gt;""),mlmx(Tech!AP20,Tech!AN20)-mlmx(Tech!AE20,Tech!AC20),"")</f>
      </c>
      <c r="T32" s="165">
        <f>IF(AND(AD20="b",T14&lt;&gt;""),mlmx(Tech!AQ20,Tech!AN20)-mlmx(Tech!AF20,Tech!AC20),"")</f>
      </c>
      <c r="U32" s="165">
        <f>IF(AND(AD20="b",U14&lt;&gt;""),mlmx(Tech!AR20,Tech!AN20)-mlmx(Tech!AG20,Tech!AC20),"")</f>
      </c>
      <c r="V32" s="165">
        <f>IF(AND(AD20="b",V14&lt;&gt;""),mlmx(Tech!AS20,Tech!AN20)-mlmx(Tech!AH20,Tech!AC20),"")</f>
      </c>
      <c r="W32" s="165">
        <f>IF(AND(AD20="b",W14&lt;&gt;""),mlmx(Tech!AT20,Tech!AN20)-mlmx(Tech!AI20,Tech!AC20),"")</f>
      </c>
      <c r="X32" s="165">
        <f>IF(AND(AD20="b",X14&lt;&gt;""),mlmx(Tech!AU20,Tech!AN20)-mlmx(Tech!AJ20,Tech!AC20),"")</f>
      </c>
      <c r="Y32" s="165">
        <f>IF(AND(AD20="b",Y14&lt;&gt;""),mlmx(Tech!AV20,Tech!AN20)-mlmx(Tech!AK20,Tech!AC20),"")</f>
      </c>
      <c r="Z32" s="165">
        <f>IF(AND(AD20="b",Z14&lt;&gt;""),mlmx(Tech!AW20,Tech!AN20)-mlmx(Tech!AL20,Tech!AC20),"")</f>
      </c>
      <c r="AB32" s="105">
        <f t="shared" si="9"/>
      </c>
      <c r="AC32" s="106">
        <f t="shared" si="10"/>
      </c>
      <c r="AD32" s="47">
        <f t="shared" si="11"/>
      </c>
      <c r="AE32" s="57"/>
    </row>
    <row r="33" spans="2:31" ht="12.75">
      <c r="B33" s="192" t="str">
        <f t="shared" si="12"/>
        <v>---</v>
      </c>
      <c r="C33" s="197"/>
      <c r="D33" s="202">
        <f t="shared" si="0"/>
      </c>
      <c r="E33" s="202">
        <f t="shared" si="1"/>
      </c>
      <c r="F33" s="202">
        <f t="shared" si="2"/>
      </c>
      <c r="G33" s="202">
        <f t="shared" si="3"/>
      </c>
      <c r="H33" s="202">
        <f t="shared" si="4"/>
      </c>
      <c r="I33" s="202">
        <f t="shared" si="5"/>
      </c>
      <c r="J33" s="202">
        <f t="shared" si="6"/>
      </c>
      <c r="K33" s="202">
        <f t="shared" si="7"/>
      </c>
      <c r="L33" s="202">
        <f t="shared" si="8"/>
      </c>
      <c r="N33" s="166"/>
      <c r="O33" s="167" t="s">
        <v>103</v>
      </c>
      <c r="P33" s="165">
        <f>IF(AD20="c",mabs(Q33,R33,S33,T33,U33,V33,W33,X33,Y33,Z33)/COUNT(Q33:Z33),"")</f>
      </c>
      <c r="Q33" s="165">
        <f>IF(AD20="c",mlm1(Tech!BJ20)-mlm1(Tech!AY20),"")</f>
      </c>
      <c r="R33" s="165">
        <f>IF(AD20="c",mlmx(Tech!BK20,Tech!BJ20)-mlmx(Tech!AZ20,Tech!AY20),"")</f>
      </c>
      <c r="S33" s="165">
        <f>IF(AND(AD20="c",S14&lt;&gt;""),mlmx(Tech!BL20,Tech!BJ20)-mlmx(Tech!BA20,Tech!AY20),"")</f>
      </c>
      <c r="T33" s="165">
        <f>IF(AND(AD20="c",T14&lt;&gt;""),mlmx(Tech!BM20,Tech!BJ20)-mlmx(Tech!BB20,Tech!AY20),"")</f>
      </c>
      <c r="U33" s="165">
        <f>IF(AND(AD20="c",U14&lt;&gt;""),mlmx(Tech!BN20,Tech!BJ20)-mlmx(Tech!BC20,Tech!AY20),"")</f>
      </c>
      <c r="V33" s="165">
        <f>IF(AND(AD20="c",V14&lt;&gt;""),mlmx(Tech!BO20,Tech!BJ20)-mlmx(Tech!BD20,Tech!AY20),"")</f>
      </c>
      <c r="W33" s="165">
        <f>IF(AND(AD20="c",W14&lt;&gt;""),mlmx(Tech!BP20,Tech!BJ20)-mlmx(Tech!BE20,Tech!AY20),"")</f>
      </c>
      <c r="X33" s="165">
        <f>IF(AND(AD20="c",X14&lt;&gt;""),mlmx(Tech!BQ20,Tech!BJ20)-mlmx(Tech!BF20,Tech!AY20),"")</f>
      </c>
      <c r="Y33" s="165">
        <f>IF(AND(AD20="c",Y14&lt;&gt;""),mlmx(Tech!BR20,Tech!BJ20)-mlmx(Tech!BG20,Tech!AY20),"")</f>
      </c>
      <c r="Z33" s="165">
        <f>IF(AND(AD20="c",Z14&lt;&gt;""),mlmx(Tech!BS20,Tech!BJ20)-mlmx(Tech!BH20,Tech!AY20),"")</f>
      </c>
      <c r="AB33" s="105">
        <f t="shared" si="9"/>
      </c>
      <c r="AC33" s="106">
        <f t="shared" si="10"/>
      </c>
      <c r="AD33" s="47">
        <f t="shared" si="11"/>
      </c>
      <c r="AE33" s="57"/>
    </row>
    <row r="34" spans="2:31" ht="12.75">
      <c r="B34" s="192" t="str">
        <f t="shared" si="12"/>
        <v>---</v>
      </c>
      <c r="C34" s="197"/>
      <c r="D34" s="202">
        <f t="shared" si="0"/>
      </c>
      <c r="E34" s="202">
        <f t="shared" si="1"/>
      </c>
      <c r="F34" s="202">
        <f t="shared" si="2"/>
      </c>
      <c r="G34" s="202">
        <f t="shared" si="3"/>
      </c>
      <c r="H34" s="202">
        <f t="shared" si="4"/>
      </c>
      <c r="I34" s="202">
        <f t="shared" si="5"/>
      </c>
      <c r="J34" s="202">
        <f t="shared" si="6"/>
      </c>
      <c r="K34" s="202">
        <f t="shared" si="7"/>
      </c>
      <c r="L34" s="202">
        <f t="shared" si="8"/>
      </c>
      <c r="N34" s="166"/>
      <c r="O34" s="167" t="s">
        <v>104</v>
      </c>
      <c r="P34" s="165">
        <f>IF(AD20="c",mabs(Q34,R34,S34,T34,U34,V34,W34,X34,Y34,Z34)/COUNT(Q34:Z34),"")</f>
      </c>
      <c r="Q34" s="165">
        <f>IF(AD20="c",mlm1(Tech!CF20)-mlm1(Tech!BU20),"")</f>
      </c>
      <c r="R34" s="165">
        <f>IF(AD20="c",mlmx(Tech!CG20,Tech!CF20)-mlmx(Tech!BV20,Tech!BU20),"")</f>
      </c>
      <c r="S34" s="165">
        <f>IF(AND(AD20="c",S14&lt;&gt;""),mlmx(Tech!CH20,Tech!CF20)-mlmx(Tech!BW20,Tech!BU20),"")</f>
      </c>
      <c r="T34" s="165">
        <f>IF(AND(AD20="c",T14&lt;&gt;""),mlmx(Tech!CI20,Tech!CF20)-mlmx(Tech!BX20,Tech!BU20),"")</f>
      </c>
      <c r="U34" s="165">
        <f>IF(AND(AD20="c",U14&lt;&gt;""),mlmx(Tech!CJ20,Tech!CF20)-mlmx(Tech!BY20,Tech!BU20),"")</f>
      </c>
      <c r="V34" s="165">
        <f>IF(AND(AD20="c",V14&lt;&gt;""),mlmx(Tech!CK20,Tech!CF20)-mlmx(Tech!BZ20,Tech!BU20),"")</f>
      </c>
      <c r="W34" s="165">
        <f>IF(AND(AD20="c",W14&lt;&gt;""),mlmx(Tech!CL20,Tech!CF20)-mlmx(Tech!CA20,Tech!BU20),"")</f>
      </c>
      <c r="X34" s="165">
        <f>IF(AND(AD20="c",X14&lt;&gt;""),mlmx(Tech!CM20,Tech!CF20)-mlmx(Tech!CB20,Tech!BU20),"")</f>
      </c>
      <c r="Y34" s="165">
        <f>IF(AND(AD20="c",Y14&lt;&gt;""),mlmx(Tech!CN20,Tech!CF20)-mlmx(Tech!CC20,Tech!BU20),"")</f>
      </c>
      <c r="Z34" s="165">
        <f>IF(AND(AD20="c",Z14&lt;&gt;""),mlmx(Tech!CO20,Tech!CF20)-mlmx(Tech!CD20,Tech!BU20),"")</f>
      </c>
      <c r="AB34" s="105">
        <f t="shared" si="9"/>
      </c>
      <c r="AC34" s="106">
        <f t="shared" si="10"/>
      </c>
      <c r="AD34" s="47">
        <f t="shared" si="11"/>
      </c>
      <c r="AE34" s="57"/>
    </row>
    <row r="35" spans="2:31" ht="12.75">
      <c r="B35" s="192" t="str">
        <f t="shared" si="12"/>
        <v>---</v>
      </c>
      <c r="C35" s="197"/>
      <c r="D35" s="202">
        <f t="shared" si="0"/>
      </c>
      <c r="E35" s="202">
        <f t="shared" si="1"/>
      </c>
      <c r="F35" s="202">
        <f t="shared" si="2"/>
      </c>
      <c r="G35" s="202">
        <f t="shared" si="3"/>
      </c>
      <c r="H35" s="202">
        <f t="shared" si="4"/>
      </c>
      <c r="I35" s="202">
        <f t="shared" si="5"/>
      </c>
      <c r="J35" s="202">
        <f t="shared" si="6"/>
      </c>
      <c r="K35" s="202">
        <f t="shared" si="7"/>
      </c>
      <c r="L35" s="202">
        <f t="shared" si="8"/>
      </c>
      <c r="N35" s="166"/>
      <c r="O35" s="167" t="s">
        <v>32</v>
      </c>
      <c r="P35" s="165">
        <f>IF(AD20="c",mabs(Q35,R35,S35,T35,U35,V35,W35,X35,Y35,Z35)/COUNT(Q35:Z35),"")</f>
      </c>
      <c r="Q35" s="165">
        <f>IF(AD20="c",mlm1(Tech!DB20)-mlm1(Tech!CQ20),"")</f>
      </c>
      <c r="R35" s="165">
        <f>IF(AD20="c",mlmx(Tech!DC20,Tech!DB20)-mlmx(Tech!CR20,Tech!CQ20),"")</f>
      </c>
      <c r="S35" s="165">
        <f>IF(AND(AD20="c",S14&lt;&gt;""),mlmx(Tech!DD20,Tech!DB20)-mlmx(Tech!CS20,Tech!CQ20),"")</f>
      </c>
      <c r="T35" s="165">
        <f>IF(AND(AD20="c",T14&lt;&gt;""),mlmx(Tech!DE20,Tech!DB20)-mlmx(Tech!CT20,Tech!CQ20),"")</f>
      </c>
      <c r="U35" s="165">
        <f>IF(AND(AD20="c",U14&lt;&gt;""),mlmx(Tech!DF20,Tech!DB20)-mlmx(Tech!CU20,Tech!CQ20),"")</f>
      </c>
      <c r="V35" s="165">
        <f>IF(AND(AD20="c",V14&lt;&gt;""),mlmx(Tech!DG20,Tech!DB20)-mlmx(Tech!CV20,Tech!CQ20),"")</f>
      </c>
      <c r="W35" s="165">
        <f>IF(AND(AD20="c",W14&lt;&gt;""),mlmx(Tech!DH20,Tech!DB20)-mlmx(Tech!CW20,Tech!CQ20),"")</f>
      </c>
      <c r="X35" s="165">
        <f>IF(AND(AD20="c",X14&lt;&gt;""),mlmx(Tech!DI20,Tech!DB20)-mlmx(Tech!CX20,Tech!CQ20),"")</f>
      </c>
      <c r="Y35" s="165">
        <f>IF(AND(AD20="c",Y14&lt;&gt;""),mlmx(Tech!DJ20,Tech!DB20)-mlmx(Tech!CY20,Tech!CQ20),"")</f>
      </c>
      <c r="Z35" s="165">
        <f>IF(AND(AD20="c",Z14&lt;&gt;""),mlmx(Tech!DK20,Tech!DB20)-mlmx(Tech!CZ20,Tech!CQ20),"")</f>
      </c>
      <c r="AB35" s="105">
        <f t="shared" si="9"/>
      </c>
      <c r="AC35" s="106">
        <f t="shared" si="10"/>
      </c>
      <c r="AD35" s="47">
        <f t="shared" si="11"/>
      </c>
      <c r="AE35" s="57"/>
    </row>
    <row r="36" spans="2:31" ht="12.75">
      <c r="B36" s="192" t="str">
        <f t="shared" si="12"/>
        <v>---</v>
      </c>
      <c r="C36" s="197"/>
      <c r="D36" s="202">
        <f t="shared" si="0"/>
      </c>
      <c r="E36" s="202">
        <f t="shared" si="1"/>
      </c>
      <c r="F36" s="202">
        <f t="shared" si="2"/>
      </c>
      <c r="G36" s="202">
        <f t="shared" si="3"/>
      </c>
      <c r="H36" s="202">
        <f t="shared" si="4"/>
      </c>
      <c r="I36" s="202">
        <f t="shared" si="5"/>
      </c>
      <c r="J36" s="202">
        <f t="shared" si="6"/>
      </c>
      <c r="K36" s="202">
        <f t="shared" si="7"/>
      </c>
      <c r="L36" s="202">
        <f t="shared" si="8"/>
      </c>
      <c r="N36" s="166">
        <f>IF(AB21="","",AB21)</f>
      </c>
      <c r="O36" s="164" t="s">
        <v>31</v>
      </c>
      <c r="P36" s="165">
        <f>IF(AD21="b",mabs(Q36,R36,S36,T36,U36,V36,W36,X36,Y36,Z36)/COUNT(Q36:Z36),"")</f>
      </c>
      <c r="Q36" s="165">
        <f>IF(AD21="b",mlm1(Tech!AN21)-mlm1(Tech!AC21),"")</f>
      </c>
      <c r="R36" s="165">
        <f>IF(AD21="b",mlmx(Tech!AO21,Tech!AN21)-mlmx(Tech!AD21,Tech!AC21),"")</f>
      </c>
      <c r="S36" s="165">
        <f>IF(AND(AD21="b",S14&lt;&gt;""),mlmx(Tech!AP21,Tech!AN21)-mlmx(Tech!AE21,Tech!AC21),"")</f>
      </c>
      <c r="T36" s="165">
        <f>IF(AND(AD21="b",T14&lt;&gt;""),mlmx(Tech!AQ21,Tech!AN21)-mlmx(Tech!AF21,Tech!AC21),"")</f>
      </c>
      <c r="U36" s="165">
        <f>IF(AND(AD21="b",U14&lt;&gt;""),mlmx(Tech!AR21,Tech!AN21)-mlmx(Tech!AG21,Tech!AC21),"")</f>
      </c>
      <c r="V36" s="165">
        <f>IF(AND(AD21="b",V14&lt;&gt;""),mlmx(Tech!AS21,Tech!AN21)-mlmx(Tech!AH21,Tech!AC21),"")</f>
      </c>
      <c r="W36" s="165">
        <f>IF(AND(AD21="b",W14&lt;&gt;""),mlmx(Tech!AT21,Tech!AN21)-mlmx(Tech!AI21,Tech!AC21),"")</f>
      </c>
      <c r="X36" s="165">
        <f>IF(AND(AD21="b",X14&lt;&gt;""),mlmx(Tech!AU21,Tech!AN21)-mlmx(Tech!AJ21,Tech!AC21),"")</f>
      </c>
      <c r="Y36" s="165">
        <f>IF(AND(AD21="b",Y14&lt;&gt;""),mlmx(Tech!AV21,Tech!AN21)-mlmx(Tech!AK21,Tech!AC21),"")</f>
      </c>
      <c r="Z36" s="165">
        <f>IF(AND(AD21="b",Z14&lt;&gt;""),mlmx(Tech!AW21,Tech!AN21)-mlmx(Tech!AL21,Tech!AC21),"")</f>
      </c>
      <c r="AB36" s="105">
        <f t="shared" si="9"/>
      </c>
      <c r="AC36" s="106">
        <f t="shared" si="10"/>
      </c>
      <c r="AD36" s="47">
        <f t="shared" si="11"/>
      </c>
      <c r="AE36" s="57"/>
    </row>
    <row r="37" spans="2:31" ht="12.75">
      <c r="B37" s="192" t="str">
        <f t="shared" si="12"/>
        <v>---</v>
      </c>
      <c r="C37" s="197"/>
      <c r="D37" s="202">
        <f t="shared" si="0"/>
      </c>
      <c r="E37" s="202">
        <f t="shared" si="1"/>
      </c>
      <c r="F37" s="202">
        <f t="shared" si="2"/>
      </c>
      <c r="G37" s="202">
        <f t="shared" si="3"/>
      </c>
      <c r="H37" s="202">
        <f t="shared" si="4"/>
      </c>
      <c r="I37" s="202">
        <f t="shared" si="5"/>
      </c>
      <c r="J37" s="202">
        <f t="shared" si="6"/>
      </c>
      <c r="K37" s="202">
        <f t="shared" si="7"/>
      </c>
      <c r="L37" s="202">
        <f t="shared" si="8"/>
      </c>
      <c r="N37" s="166"/>
      <c r="O37" s="167" t="s">
        <v>103</v>
      </c>
      <c r="P37" s="165">
        <f>IF(AD21="c",mabs(Q37,R37,S37,T37,U37,V37,W37,X37,Y37,Z37)/COUNT(Q37:Z37),"")</f>
      </c>
      <c r="Q37" s="165">
        <f>IF(AD21="c",mlm1(Tech!BJ21)-mlm1(Tech!AY21),"")</f>
      </c>
      <c r="R37" s="165">
        <f>IF(AD21="c",mlmx(Tech!BK21,Tech!BJ21)-mlmx(Tech!AZ21,Tech!AY21),"")</f>
      </c>
      <c r="S37" s="165">
        <f>IF(AND(AD21="c",S14&lt;&gt;""),mlmx(Tech!BL21,Tech!BJ21)-mlmx(Tech!BA21,Tech!AY21),"")</f>
      </c>
      <c r="T37" s="165">
        <f>IF(AND(AD21="c",T14&lt;&gt;""),mlmx(Tech!BM21,Tech!BJ21)-mlmx(Tech!BB21,Tech!AY21),"")</f>
      </c>
      <c r="U37" s="165">
        <f>IF(AND(AD21="c",U14&lt;&gt;""),mlmx(Tech!BN21,Tech!BJ21)-mlmx(Tech!BC21,Tech!AY21),"")</f>
      </c>
      <c r="V37" s="165">
        <f>IF(AND(AD21="c",V14&lt;&gt;""),mlmx(Tech!BO21,Tech!BJ21)-mlmx(Tech!BD21,Tech!AY21),"")</f>
      </c>
      <c r="W37" s="165">
        <f>IF(AND(AD21="c",W14&lt;&gt;""),mlmx(Tech!BP21,Tech!BJ21)-mlmx(Tech!BE21,Tech!AY21),"")</f>
      </c>
      <c r="X37" s="165">
        <f>IF(AND(AD21="c",X14&lt;&gt;""),mlmx(Tech!BQ21,Tech!BJ21)-mlmx(Tech!BF21,Tech!AY21),"")</f>
      </c>
      <c r="Y37" s="165">
        <f>IF(AND(AD21="c",Y14&lt;&gt;""),mlmx(Tech!BR21,Tech!BJ21)-mlmx(Tech!BG21,Tech!AY21),"")</f>
      </c>
      <c r="Z37" s="165">
        <f>IF(AND(AD21="c",Z14&lt;&gt;""),mlmx(Tech!BS21,Tech!BJ21)-mlmx(Tech!BH21,Tech!AY21),"")</f>
      </c>
      <c r="AB37" s="105">
        <f t="shared" si="9"/>
      </c>
      <c r="AC37" s="106">
        <f t="shared" si="10"/>
      </c>
      <c r="AD37" s="47">
        <f t="shared" si="11"/>
      </c>
      <c r="AE37" s="57"/>
    </row>
    <row r="38" spans="2:31" ht="12.75">
      <c r="B38" s="192" t="str">
        <f t="shared" si="12"/>
        <v>---</v>
      </c>
      <c r="C38" s="197"/>
      <c r="D38" s="202">
        <f t="shared" si="0"/>
      </c>
      <c r="E38" s="202">
        <f t="shared" si="1"/>
      </c>
      <c r="F38" s="202">
        <f t="shared" si="2"/>
      </c>
      <c r="G38" s="202">
        <f t="shared" si="3"/>
      </c>
      <c r="H38" s="202">
        <f t="shared" si="4"/>
      </c>
      <c r="I38" s="202">
        <f t="shared" si="5"/>
      </c>
      <c r="J38" s="202">
        <f t="shared" si="6"/>
      </c>
      <c r="K38" s="202">
        <f t="shared" si="7"/>
      </c>
      <c r="L38" s="202">
        <f t="shared" si="8"/>
      </c>
      <c r="N38" s="166"/>
      <c r="O38" s="167" t="s">
        <v>104</v>
      </c>
      <c r="P38" s="165">
        <f>IF(AD21="c",mabs(Q38,R38,S38,T38,U38,V38,W38,X38,Y38,Z38)/COUNT(Q38:Z38),"")</f>
      </c>
      <c r="Q38" s="165">
        <f>IF(AD21="c",mlm1(Tech!CF21)-mlm1(Tech!BU21),"")</f>
      </c>
      <c r="R38" s="165">
        <f>IF(AD21="c",mlmx(Tech!CG21,Tech!CF21)-mlmx(Tech!BV21,Tech!BU21),"")</f>
      </c>
      <c r="S38" s="165">
        <f>IF(AND(AD21="c",S14&lt;&gt;""),mlmx(Tech!CH21,Tech!CF21)-mlmx(Tech!BW21,Tech!BU21),"")</f>
      </c>
      <c r="T38" s="165">
        <f>IF(AND(AD21="c",T14&lt;&gt;""),mlmx(Tech!CI21,Tech!CF21)-mlmx(Tech!BX21,Tech!BU21),"")</f>
      </c>
      <c r="U38" s="165">
        <f>IF(AND(AD21="c",U14&lt;&gt;""),mlmx(Tech!CJ21,Tech!CF21)-mlmx(Tech!BY21,Tech!BU21),"")</f>
      </c>
      <c r="V38" s="165">
        <f>IF(AND(AD21="c",V14&lt;&gt;""),mlmx(Tech!CK21,Tech!CF21)-mlmx(Tech!BZ21,Tech!BU21),"")</f>
      </c>
      <c r="W38" s="165">
        <f>IF(AND(AD21="c",W14&lt;&gt;""),mlmx(Tech!CL21,Tech!CF21)-mlmx(Tech!CA21,Tech!BU21),"")</f>
      </c>
      <c r="X38" s="165">
        <f>IF(AND(AD21="c",X14&lt;&gt;""),mlmx(Tech!CM21,Tech!CF21)-mlmx(Tech!CB21,Tech!BU21),"")</f>
      </c>
      <c r="Y38" s="165">
        <f>IF(AND(AD21="c",Y14&lt;&gt;""),mlmx(Tech!CN21,Tech!CF21)-mlmx(Tech!CC21,Tech!BU21),"")</f>
      </c>
      <c r="Z38" s="165">
        <f>IF(AND(AD21="c",Z14&lt;&gt;""),mlmx(Tech!CO21,Tech!CF21)-mlmx(Tech!CD21,Tech!BU21),"")</f>
      </c>
      <c r="AB38" s="105">
        <f t="shared" si="9"/>
      </c>
      <c r="AC38" s="106">
        <f t="shared" si="10"/>
      </c>
      <c r="AD38" s="47">
        <f t="shared" si="11"/>
      </c>
      <c r="AE38" s="57"/>
    </row>
    <row r="39" spans="2:31" ht="12.75">
      <c r="B39" s="192" t="str">
        <f t="shared" si="12"/>
        <v>---</v>
      </c>
      <c r="C39" s="197"/>
      <c r="D39" s="202">
        <f t="shared" si="0"/>
      </c>
      <c r="E39" s="202">
        <f t="shared" si="1"/>
      </c>
      <c r="F39" s="202">
        <f t="shared" si="2"/>
      </c>
      <c r="G39" s="202">
        <f t="shared" si="3"/>
      </c>
      <c r="H39" s="202">
        <f t="shared" si="4"/>
      </c>
      <c r="I39" s="202">
        <f t="shared" si="5"/>
      </c>
      <c r="J39" s="202">
        <f t="shared" si="6"/>
      </c>
      <c r="K39" s="202">
        <f t="shared" si="7"/>
      </c>
      <c r="L39" s="202">
        <f t="shared" si="8"/>
      </c>
      <c r="N39" s="166"/>
      <c r="O39" s="167" t="s">
        <v>32</v>
      </c>
      <c r="P39" s="165">
        <f>IF(AD21="c",mabs(Q39,R39,S39,T39,U39,V39,W39,X39,Y39,Z39)/COUNT(Q39:Z39),"")</f>
      </c>
      <c r="Q39" s="165">
        <f>IF(AD21="c",mlm1(Tech!DB21)-mlm1(Tech!CQ21),"")</f>
      </c>
      <c r="R39" s="165">
        <f>IF(AD21="c",mlmx(Tech!DC21,Tech!DB21)-mlmx(Tech!CR21,Tech!CQ21),"")</f>
      </c>
      <c r="S39" s="165">
        <f>IF(AND(AD21="c",S14&lt;&gt;""),mlmx(Tech!DD21,Tech!DB21)-mlmx(Tech!CS21,Tech!CQ21),"")</f>
      </c>
      <c r="T39" s="165">
        <f>IF(AND(AD21="c",T14&lt;&gt;""),mlmx(Tech!DE21,Tech!DB21)-mlmx(Tech!CT21,Tech!CQ21),"")</f>
      </c>
      <c r="U39" s="165">
        <f>IF(AND(AD21="c",U14&lt;&gt;""),mlmx(Tech!DF21,Tech!DB21)-mlmx(Tech!CU21,Tech!CQ21),"")</f>
      </c>
      <c r="V39" s="165">
        <f>IF(AND(AD21="c",V14&lt;&gt;""),mlmx(Tech!DG21,Tech!DB21)-mlmx(Tech!CV21,Tech!CQ21),"")</f>
      </c>
      <c r="W39" s="165">
        <f>IF(AND(AD21="c",W14&lt;&gt;""),mlmx(Tech!DH21,Tech!DB21)-mlmx(Tech!CW21,Tech!CQ21),"")</f>
      </c>
      <c r="X39" s="165">
        <f>IF(AND(AD21="c",X14&lt;&gt;""),mlmx(Tech!DI21,Tech!DB21)-mlmx(Tech!CX21,Tech!CQ21),"")</f>
      </c>
      <c r="Y39" s="165">
        <f>IF(AND(AD21="c",Y14&lt;&gt;""),mlmx(Tech!DJ21,Tech!DB21)-mlmx(Tech!CY21,Tech!CQ21),"")</f>
      </c>
      <c r="Z39" s="165">
        <f>IF(AND(AD21="c",Z14&lt;&gt;""),mlmx(Tech!DK21,Tech!DB21)-mlmx(Tech!CZ21,Tech!CQ21),"")</f>
      </c>
      <c r="AB39" s="105">
        <f t="shared" si="9"/>
      </c>
      <c r="AC39" s="106">
        <f t="shared" si="10"/>
      </c>
      <c r="AD39" s="47">
        <f t="shared" si="11"/>
      </c>
      <c r="AE39" s="57"/>
    </row>
    <row r="40" spans="2:31" ht="12.75">
      <c r="B40" s="192" t="str">
        <f t="shared" si="12"/>
        <v>---</v>
      </c>
      <c r="C40" s="197"/>
      <c r="D40" s="202">
        <f t="shared" si="0"/>
      </c>
      <c r="E40" s="202">
        <f t="shared" si="1"/>
      </c>
      <c r="F40" s="202">
        <f t="shared" si="2"/>
      </c>
      <c r="G40" s="202">
        <f t="shared" si="3"/>
      </c>
      <c r="H40" s="202">
        <f t="shared" si="4"/>
      </c>
      <c r="I40" s="202">
        <f t="shared" si="5"/>
      </c>
      <c r="J40" s="202">
        <f t="shared" si="6"/>
      </c>
      <c r="K40" s="202">
        <f t="shared" si="7"/>
      </c>
      <c r="L40" s="202">
        <f t="shared" si="8"/>
      </c>
      <c r="N40" s="166">
        <f>IF(AB22="",AB22)</f>
      </c>
      <c r="O40" s="164" t="s">
        <v>31</v>
      </c>
      <c r="P40" s="165">
        <f>IF(AD22="b",mabs(Q40,R40,S40,T40,U40,V40,W40,X40,Y40,Z40)/COUNT(Q40:Z40),"")</f>
      </c>
      <c r="Q40" s="165">
        <f>IF(AD22="b",mlm1(Tech!AN22)-mlm1(Tech!AC22),"")</f>
      </c>
      <c r="R40" s="165">
        <f>IF(AD22="b",mlmx(Tech!AO22,Tech!AN22)-mlmx(Tech!AD22,Tech!AC22),"")</f>
      </c>
      <c r="S40" s="165">
        <f>IF(AND(AD22="b",S14&lt;&gt;""),mlmx(Tech!AP22,Tech!AN22)-mlmx(Tech!AE22,Tech!AC22),"")</f>
      </c>
      <c r="T40" s="165">
        <f>IF(AND(AD22="b",T14&lt;&gt;""),mlmx(Tech!AQ22,Tech!AN22)-mlmx(Tech!AF22,Tech!AC22),"")</f>
      </c>
      <c r="U40" s="165">
        <f>IF(AND(AD22="b",U14&lt;&gt;""),mlmx(Tech!AR22,Tech!AN22)-mlmx(Tech!AG22,Tech!AC22),"")</f>
      </c>
      <c r="V40" s="165">
        <f>IF(AND(AD22="b",V14&lt;&gt;""),mlmx(Tech!AS22,Tech!AN22)-mlmx(Tech!AH22,Tech!AC22),"")</f>
      </c>
      <c r="W40" s="165">
        <f>IF(AND(AD22="b",W14&lt;&gt;""),mlmx(Tech!AT22,Tech!AN22)-mlmx(Tech!AI22,Tech!AC22),"")</f>
      </c>
      <c r="X40" s="165">
        <f>IF(AND(AD22="b",X14&lt;&gt;""),mlmx(Tech!AU22,Tech!AN22)-mlmx(Tech!AJ22,Tech!AC22),"")</f>
      </c>
      <c r="Y40" s="165">
        <f>IF(AND(AD22="b",Y14&lt;&gt;""),mlmx(Tech!AV22,Tech!AN22)-mlmx(Tech!AK22,Tech!AC22),"")</f>
      </c>
      <c r="Z40" s="165">
        <f>IF(AND(AD22="b",Z14&lt;&gt;""),mlmx(Tech!AW22,Tech!AN22)-mlmx(Tech!AL22,Tech!AC22),"")</f>
      </c>
      <c r="AB40" s="105">
        <f t="shared" si="9"/>
      </c>
      <c r="AC40" s="106">
        <f t="shared" si="10"/>
      </c>
      <c r="AD40" s="47">
        <f t="shared" si="11"/>
      </c>
      <c r="AE40" s="57"/>
    </row>
    <row r="41" spans="2:31" ht="12.75">
      <c r="B41" s="192" t="str">
        <f t="shared" si="12"/>
        <v>---</v>
      </c>
      <c r="C41" s="197"/>
      <c r="D41" s="202">
        <f t="shared" si="0"/>
      </c>
      <c r="E41" s="202">
        <f t="shared" si="1"/>
      </c>
      <c r="F41" s="202">
        <f t="shared" si="2"/>
      </c>
      <c r="G41" s="202">
        <f t="shared" si="3"/>
      </c>
      <c r="H41" s="202">
        <f t="shared" si="4"/>
      </c>
      <c r="I41" s="202">
        <f t="shared" si="5"/>
      </c>
      <c r="J41" s="202">
        <f t="shared" si="6"/>
      </c>
      <c r="K41" s="202">
        <f t="shared" si="7"/>
      </c>
      <c r="L41" s="202">
        <f t="shared" si="8"/>
      </c>
      <c r="N41" s="166"/>
      <c r="O41" s="167" t="s">
        <v>103</v>
      </c>
      <c r="P41" s="165">
        <f>IF(AD22="c",mabs(Q41,R41,S41,T41,U41,V41,W41,X41,Y41,Z41)/COUNT(Q41:Z41),"")</f>
      </c>
      <c r="Q41" s="165">
        <f>IF(AD22="c",mlm1(Tech!BJ22)-mlm1(Tech!AY22),"")</f>
      </c>
      <c r="R41" s="165">
        <f>IF(AD22="c",mlmx(Tech!BK22,Tech!BJ22)-mlmx(Tech!AZ22,Tech!AY22),"")</f>
      </c>
      <c r="S41" s="165">
        <f>IF(AND(AD22="c",S14&lt;&gt;""),mlmx(Tech!BL22,Tech!BJ22)-mlmx(Tech!BA22,Tech!AY22),"")</f>
      </c>
      <c r="T41" s="165">
        <f>IF(AND(AD22="c",T14&lt;&gt;""),mlmx(Tech!BM22,Tech!BJ22)-mlmx(Tech!BB22,Tech!AY22),"")</f>
      </c>
      <c r="U41" s="165">
        <f>IF(AND(AD22="c",U14&lt;&gt;""),mlmx(Tech!BN22,Tech!BJ22)-mlmx(Tech!BC22,Tech!AY22),"")</f>
      </c>
      <c r="V41" s="165">
        <f>IF(AND(AD22="c",V14&lt;&gt;""),mlmx(Tech!BO22,Tech!BJ22)-mlmx(Tech!BD22,Tech!AY22),"")</f>
      </c>
      <c r="W41" s="165">
        <f>IF(AND(AD22="c",W14&lt;&gt;""),mlmx(Tech!BP22,Tech!BJ22)-mlmx(Tech!BE22,Tech!AY22),"")</f>
      </c>
      <c r="X41" s="165">
        <f>IF(AND(AD22="c",X14&lt;&gt;""),mlmx(Tech!BQ22,Tech!BJ22)-mlmx(Tech!BF22,Tech!AY22),"")</f>
      </c>
      <c r="Y41" s="165">
        <f>IF(AND(AD22="c",Y14&lt;&gt;""),mlmx(Tech!BR22,Tech!BJ22)-mlmx(Tech!BG22,Tech!AY22),"")</f>
      </c>
      <c r="Z41" s="165">
        <f>IF(AND(AD22="c",Z14&lt;&gt;""),mlmx(Tech!BS22,Tech!BJ22)-mlmx(Tech!BH22,Tech!AY22),"")</f>
      </c>
      <c r="AB41" s="105">
        <f t="shared" si="9"/>
      </c>
      <c r="AC41" s="106">
        <f t="shared" si="10"/>
      </c>
      <c r="AD41" s="47">
        <f t="shared" si="11"/>
      </c>
      <c r="AE41" s="57"/>
    </row>
    <row r="42" spans="2:31" ht="12.75">
      <c r="B42" s="192" t="str">
        <f t="shared" si="12"/>
        <v>---</v>
      </c>
      <c r="C42" s="197"/>
      <c r="D42" s="202">
        <f t="shared" si="0"/>
      </c>
      <c r="E42" s="202">
        <f t="shared" si="1"/>
      </c>
      <c r="F42" s="202">
        <f t="shared" si="2"/>
      </c>
      <c r="G42" s="202">
        <f t="shared" si="3"/>
      </c>
      <c r="H42" s="202">
        <f t="shared" si="4"/>
      </c>
      <c r="I42" s="202">
        <f t="shared" si="5"/>
      </c>
      <c r="J42" s="202">
        <f t="shared" si="6"/>
      </c>
      <c r="K42" s="202">
        <f t="shared" si="7"/>
      </c>
      <c r="L42" s="202">
        <f t="shared" si="8"/>
      </c>
      <c r="N42" s="166"/>
      <c r="O42" s="167" t="s">
        <v>104</v>
      </c>
      <c r="P42" s="165">
        <f>IF(AD22="c",mabs(Q42,R42,S42,T42,U42,V42,W42,X42,Y42,Z42)/COUNT(Q42:Z42),"")</f>
      </c>
      <c r="Q42" s="165">
        <f>IF(AD22="c",mlm1(Tech!CF22)-mlm1(Tech!BU22),"")</f>
      </c>
      <c r="R42" s="165">
        <f>IF(AD22="c",mlmx(Tech!CG22,Tech!CF22)-mlmx(Tech!BV22,Tech!BU22),"")</f>
      </c>
      <c r="S42" s="165">
        <f>IF(AND(AD22="c",S14&lt;&gt;""),mlmx(Tech!CH22,Tech!CF22)-mlmx(Tech!BW22,Tech!BU22),"")</f>
      </c>
      <c r="T42" s="165">
        <f>IF(AND(AD22="c",T14&lt;&gt;""),mlmx(Tech!CI22,Tech!CF22)-mlmx(Tech!BX22,Tech!BU22),"")</f>
      </c>
      <c r="U42" s="165">
        <f>IF(AND(AD22="c",U14&lt;&gt;""),mlmx(Tech!CJ22,Tech!CF22)-mlmx(Tech!BY22,Tech!BU22),"")</f>
      </c>
      <c r="V42" s="165">
        <f>IF(AND(AD22="c",V14&lt;&gt;""),mlmx(Tech!CK22,Tech!CF22)-mlmx(Tech!BZ22,Tech!BU22),"")</f>
      </c>
      <c r="W42" s="165">
        <f>IF(AND(AD22="c",W14&lt;&gt;""),mlmx(Tech!CL22,Tech!CF22)-mlmx(Tech!CA22,Tech!BU22),"")</f>
      </c>
      <c r="X42" s="165">
        <f>IF(AND(AD22="c",X14&lt;&gt;""),mlmx(Tech!CM22,Tech!CF22)-mlmx(Tech!CB22,Tech!BU22),"")</f>
      </c>
      <c r="Y42" s="165">
        <f>IF(AND(AD22="c",Y14&lt;&gt;""),mlmx(Tech!CN22,Tech!CF22)-mlmx(Tech!CC22,Tech!BU22),"")</f>
      </c>
      <c r="Z42" s="165">
        <f>IF(AND(AD22="c",Z14&lt;&gt;""),mlmx(Tech!CO22,Tech!CF22)-mlmx(Tech!CD22,Tech!BU22),"")</f>
      </c>
      <c r="AB42" s="105">
        <f t="shared" si="9"/>
      </c>
      <c r="AC42" s="106">
        <f t="shared" si="10"/>
      </c>
      <c r="AD42" s="47">
        <f t="shared" si="11"/>
      </c>
      <c r="AE42" s="57"/>
    </row>
    <row r="43" spans="2:31" ht="12.75">
      <c r="B43" s="192" t="str">
        <f t="shared" si="12"/>
        <v>---</v>
      </c>
      <c r="C43" s="197"/>
      <c r="D43" s="202">
        <f t="shared" si="0"/>
      </c>
      <c r="E43" s="202">
        <f t="shared" si="1"/>
      </c>
      <c r="F43" s="202">
        <f t="shared" si="2"/>
      </c>
      <c r="G43" s="202">
        <f t="shared" si="3"/>
      </c>
      <c r="H43" s="202">
        <f t="shared" si="4"/>
      </c>
      <c r="I43" s="202">
        <f t="shared" si="5"/>
      </c>
      <c r="J43" s="202">
        <f t="shared" si="6"/>
      </c>
      <c r="K43" s="202">
        <f t="shared" si="7"/>
      </c>
      <c r="L43" s="202">
        <f t="shared" si="8"/>
      </c>
      <c r="N43" s="166"/>
      <c r="O43" s="167" t="s">
        <v>32</v>
      </c>
      <c r="P43" s="165">
        <f>IF(AD22="c",mabs(Q43,R43,S43,T43,U43,V43,W43,X43,Y43,Z43)/COUNT(Q43:Z43),"")</f>
      </c>
      <c r="Q43" s="165">
        <f>IF(AD22="c",mlm1(Tech!DB22)-mlm1(Tech!CQ22),"")</f>
      </c>
      <c r="R43" s="165">
        <f>IF(AD22="c",mlmx(Tech!DC22,Tech!DB22)-mlmx(Tech!CR22,Tech!CQ22),"")</f>
      </c>
      <c r="S43" s="165">
        <f>IF(AND(AD22="c",S14&lt;&gt;""),mlmx(Tech!DD22,Tech!DB22)-mlmx(Tech!CS22,Tech!CQ22),"")</f>
      </c>
      <c r="T43" s="165">
        <f>IF(AND(AD22="c",T14&lt;&gt;""),mlmx(Tech!DE22,Tech!DB22)-mlmx(Tech!CT22,Tech!CQ22),"")</f>
      </c>
      <c r="U43" s="165">
        <f>IF(AND(AD22="c",U14&lt;&gt;""),mlmx(Tech!DF22,Tech!DB22)-mlmx(Tech!CU22,Tech!CQ22),"")</f>
      </c>
      <c r="V43" s="165">
        <f>IF(AND(AD22="c",V14&lt;&gt;""),mlmx(Tech!DG22,Tech!DB22)-mlmx(Tech!CV22,Tech!CQ22),"")</f>
      </c>
      <c r="W43" s="165">
        <f>IF(AND(AD22="c",W14&lt;&gt;""),mlmx(Tech!DH22,Tech!DB22)-mlmx(Tech!CW22,Tech!CQ22),"")</f>
      </c>
      <c r="X43" s="165">
        <f>IF(AND(AD22="c",X14&lt;&gt;""),mlmx(Tech!DI22,Tech!DB22)-mlmx(Tech!CX22,Tech!CQ22),"")</f>
      </c>
      <c r="Y43" s="165">
        <f>IF(AND(AD22="c",Y14&lt;&gt;""),mlmx(Tech!DJ22,Tech!DB22)-mlmx(Tech!CY22,Tech!CQ22),"")</f>
      </c>
      <c r="Z43" s="165">
        <f>IF(AND(AD22="c",Z14&lt;&gt;""),mlmx(Tech!DK22,Tech!DB22)-mlmx(Tech!CZ22,Tech!CQ22),"")</f>
      </c>
      <c r="AB43" s="105">
        <f t="shared" si="9"/>
      </c>
      <c r="AC43" s="106">
        <f t="shared" si="10"/>
      </c>
      <c r="AD43" s="47">
        <f t="shared" si="11"/>
      </c>
      <c r="AE43" s="57"/>
    </row>
    <row r="44" spans="2:31" ht="12.75">
      <c r="B44" s="192" t="str">
        <f t="shared" si="12"/>
        <v>---</v>
      </c>
      <c r="C44" s="197"/>
      <c r="D44" s="202">
        <f t="shared" si="0"/>
      </c>
      <c r="E44" s="202">
        <f t="shared" si="1"/>
      </c>
      <c r="F44" s="202">
        <f t="shared" si="2"/>
      </c>
      <c r="G44" s="202">
        <f t="shared" si="3"/>
      </c>
      <c r="H44" s="202">
        <f t="shared" si="4"/>
      </c>
      <c r="I44" s="202">
        <f t="shared" si="5"/>
      </c>
      <c r="J44" s="202">
        <f t="shared" si="6"/>
      </c>
      <c r="K44" s="202">
        <f t="shared" si="7"/>
      </c>
      <c r="L44" s="202">
        <f t="shared" si="8"/>
      </c>
      <c r="N44" s="166">
        <f>IF(AB23="","",AB23)</f>
      </c>
      <c r="O44" s="164" t="s">
        <v>31</v>
      </c>
      <c r="P44" s="165">
        <f>IF(AD23="b",mabs(Q44,R44,S44,T44,U44,V44,W44,X44,Y44,Z44)/COUNT(Q44:Z44),"")</f>
      </c>
      <c r="Q44" s="165">
        <f>IF(AD23="b",mlm1(Tech!AN23)-mlm1(Tech!AC23),"")</f>
      </c>
      <c r="R44" s="165">
        <f>IF(AD23="b",mlmx(Tech!AO23,Tech!AN23)-mlmx(Tech!AD23,Tech!AC23),"")</f>
      </c>
      <c r="S44" s="165">
        <f>IF(AND(AD23="b",S14&lt;&gt;""),mlmx(Tech!AP23,Tech!AN23)-mlmx(Tech!AE23,Tech!AC23),"")</f>
      </c>
      <c r="T44" s="165">
        <f>IF(AND(AD23="b",T14&lt;&gt;""),mlmx(Tech!AQ23,Tech!AN23)-mlmx(Tech!AF23,Tech!AC23),"")</f>
      </c>
      <c r="U44" s="165">
        <f>IF(AND(AD23="b",U14&lt;&gt;""),mlmx(Tech!AR23,Tech!AN23)-mlmx(Tech!AG23,Tech!AC23),"")</f>
      </c>
      <c r="V44" s="165">
        <f>IF(AND(AD23="b",V14&lt;&gt;""),mlmx(Tech!AS23,Tech!AN23)-mlmx(Tech!AH23,Tech!AC23),"")</f>
      </c>
      <c r="W44" s="165">
        <f>IF(AND(AD23="b",W14&lt;&gt;""),mlmx(Tech!AT23,Tech!AN23)-mlmx(Tech!AI23,Tech!AC23),"")</f>
      </c>
      <c r="X44" s="165">
        <f>IF(AND(AD23="b",X14&lt;&gt;""),mlmx(Tech!AU23,Tech!AN23)-mlmx(Tech!AJ23,Tech!AC23),"")</f>
      </c>
      <c r="Y44" s="165">
        <f>IF(AND(AD23="b",Y14&lt;&gt;""),mlmx(Tech!AV23,Tech!AN23)-mlmx(Tech!AK23,Tech!AC23),"")</f>
      </c>
      <c r="Z44" s="165">
        <f>IF(AND(AD23="b",Z14&lt;&gt;""),mlmx(Tech!AW23,Tech!AN23)-mlmx(Tech!AL23,Tech!AC23),"")</f>
      </c>
      <c r="AB44" s="105">
        <f t="shared" si="9"/>
      </c>
      <c r="AC44" s="106">
        <f t="shared" si="10"/>
      </c>
      <c r="AD44" s="47">
        <f t="shared" si="11"/>
      </c>
      <c r="AE44" s="57"/>
    </row>
    <row r="45" spans="2:31" ht="12.75">
      <c r="B45" s="192" t="str">
        <f t="shared" si="12"/>
        <v>---</v>
      </c>
      <c r="C45" s="197"/>
      <c r="D45" s="202">
        <f t="shared" si="0"/>
      </c>
      <c r="E45" s="202">
        <f t="shared" si="1"/>
      </c>
      <c r="F45" s="202">
        <f t="shared" si="2"/>
      </c>
      <c r="G45" s="202">
        <f t="shared" si="3"/>
      </c>
      <c r="H45" s="202">
        <f t="shared" si="4"/>
      </c>
      <c r="I45" s="202">
        <f t="shared" si="5"/>
      </c>
      <c r="J45" s="202">
        <f t="shared" si="6"/>
      </c>
      <c r="K45" s="202">
        <f t="shared" si="7"/>
      </c>
      <c r="L45" s="202">
        <f t="shared" si="8"/>
      </c>
      <c r="N45" s="166"/>
      <c r="O45" s="167" t="s">
        <v>103</v>
      </c>
      <c r="P45" s="165">
        <f>IF(AD23="c",mabs(Q45,R45,S45,T45,U45,V45,W45,X45,Y45,Z45)/COUNT(Q45:Z45),"")</f>
      </c>
      <c r="Q45" s="165">
        <f>IF(AD23="c",mlm1(Tech!BJ23)-mlm1(Tech!AY23),"")</f>
      </c>
      <c r="R45" s="165">
        <f>IF(AD23="c",mlmx(Tech!BK23,Tech!BJ23)-mlmx(Tech!AZ23,Tech!AY23),"")</f>
      </c>
      <c r="S45" s="165">
        <f>IF(AND(AD23="c",S14&lt;&gt;""),mlmx(Tech!BL23,Tech!BJ23)-mlmx(Tech!BA23,Tech!AY23),"")</f>
      </c>
      <c r="T45" s="165">
        <f>IF(AND(AD23="c",T14&lt;&gt;""),mlmx(Tech!BM23,Tech!BJ23)-mlmx(Tech!BB23,Tech!AY23),"")</f>
      </c>
      <c r="U45" s="165">
        <f>IF(AND(AD23="c",U14&lt;&gt;""),mlmx(Tech!BN23,Tech!BJ23)-mlmx(Tech!BC23,Tech!AY23),"")</f>
      </c>
      <c r="V45" s="165">
        <f>IF(AND(AD23="c",V14&lt;&gt;""),mlmx(Tech!BO23,Tech!BJ23)-mlmx(Tech!BD23,Tech!AY23),"")</f>
      </c>
      <c r="W45" s="165">
        <f>IF(AND(AD23="c",W14&lt;&gt;""),mlmx(Tech!BP23,Tech!BJ23)-mlmx(Tech!BE23,Tech!AY23),"")</f>
      </c>
      <c r="X45" s="165">
        <f>IF(AND(AD23="c",X14&lt;&gt;""),mlmx(Tech!BQ23,Tech!BJ23)-mlmx(Tech!BF23,Tech!AY23),"")</f>
      </c>
      <c r="Y45" s="165">
        <f>IF(AND(AD23="c",Y14&lt;&gt;""),mlmx(Tech!BR23,Tech!BJ23)-mlmx(Tech!BG23,Tech!AY23),"")</f>
      </c>
      <c r="Z45" s="165">
        <f>IF(AND(AD23="c",Z14&lt;&gt;""),mlmx(Tech!BS23,Tech!BJ23)-mlmx(Tech!BH23,Tech!AY23),"")</f>
      </c>
      <c r="AB45" s="105">
        <f t="shared" si="9"/>
      </c>
      <c r="AC45" s="106">
        <f t="shared" si="10"/>
      </c>
      <c r="AD45" s="47">
        <f t="shared" si="11"/>
      </c>
      <c r="AE45" s="57"/>
    </row>
    <row r="46" spans="2:31" ht="12.75">
      <c r="B46" s="192" t="str">
        <f t="shared" si="12"/>
        <v>---</v>
      </c>
      <c r="C46" s="197"/>
      <c r="D46" s="202">
        <f t="shared" si="0"/>
      </c>
      <c r="E46" s="202">
        <f t="shared" si="1"/>
      </c>
      <c r="F46" s="202">
        <f t="shared" si="2"/>
      </c>
      <c r="G46" s="202">
        <f t="shared" si="3"/>
      </c>
      <c r="H46" s="202">
        <f t="shared" si="4"/>
      </c>
      <c r="I46" s="202">
        <f t="shared" si="5"/>
      </c>
      <c r="J46" s="202">
        <f t="shared" si="6"/>
      </c>
      <c r="K46" s="202">
        <f t="shared" si="7"/>
      </c>
      <c r="L46" s="202">
        <f t="shared" si="8"/>
      </c>
      <c r="N46" s="166"/>
      <c r="O46" s="167" t="s">
        <v>104</v>
      </c>
      <c r="P46" s="165">
        <f>IF(AD23="c",mabs(Q46,R46,S46,T46,U46,V46,W46,X46,Y46,Z46)/COUNT(Q46:Z46),"")</f>
      </c>
      <c r="Q46" s="165">
        <f>IF(AD23="c",mlm1(Tech!CF23)-mlm1(Tech!BU23),"")</f>
      </c>
      <c r="R46" s="165">
        <f>IF(AD23="c",mlmx(Tech!CG23,Tech!CF23)-mlmx(Tech!BV23,Tech!BU23),"")</f>
      </c>
      <c r="S46" s="165">
        <f>IF(AND(AD23="c",S14&lt;&gt;""),mlmx(Tech!CH23,Tech!CF23)-mlmx(Tech!BW23,Tech!BU23),"")</f>
      </c>
      <c r="T46" s="165">
        <f>IF(AND(AD23="c",T14&lt;&gt;""),mlmx(Tech!CI23,Tech!CF23)-mlmx(Tech!BX23,Tech!BU23),"")</f>
      </c>
      <c r="U46" s="165">
        <f>IF(AND(AD23="c",U14&lt;&gt;""),mlmx(Tech!CJ23,Tech!CF23)-mlmx(Tech!BY23,Tech!BU23),"")</f>
      </c>
      <c r="V46" s="165">
        <f>IF(AND(AD23="c",V14&lt;&gt;""),mlmx(Tech!CK23,Tech!CF23)-mlmx(Tech!BZ23,Tech!BU23),"")</f>
      </c>
      <c r="W46" s="165">
        <f>IF(AND(AD23="c",W14&lt;&gt;""),mlmx(Tech!CL23,Tech!CF23)-mlmx(Tech!CA23,Tech!BU23),"")</f>
      </c>
      <c r="X46" s="165">
        <f>IF(AND(AD23="c",X14&lt;&gt;""),mlmx(Tech!CM23,Tech!CF23)-mlmx(Tech!CB23,Tech!BU23),"")</f>
      </c>
      <c r="Y46" s="165">
        <f>IF(AND(AD23="c",Y14&lt;&gt;""),mlmx(Tech!CN23,Tech!CF23)-mlmx(Tech!CC23,Tech!BU23),"")</f>
      </c>
      <c r="Z46" s="165">
        <f>IF(AND(AD23="c",Z14&lt;&gt;""),mlmx(Tech!CO23,Tech!CF23)-mlmx(Tech!CD23,Tech!BU23),"")</f>
      </c>
      <c r="AB46" s="105">
        <f t="shared" si="9"/>
      </c>
      <c r="AC46" s="106">
        <f t="shared" si="10"/>
      </c>
      <c r="AD46" s="47">
        <f t="shared" si="11"/>
      </c>
      <c r="AE46" s="57"/>
    </row>
    <row r="47" spans="2:31" ht="12.75">
      <c r="B47" s="192" t="str">
        <f t="shared" si="12"/>
        <v>---</v>
      </c>
      <c r="C47" s="197"/>
      <c r="D47" s="202">
        <f t="shared" si="0"/>
      </c>
      <c r="E47" s="202">
        <f t="shared" si="1"/>
      </c>
      <c r="F47" s="202">
        <f t="shared" si="2"/>
      </c>
      <c r="G47" s="202">
        <f t="shared" si="3"/>
      </c>
      <c r="H47" s="202">
        <f t="shared" si="4"/>
      </c>
      <c r="I47" s="202">
        <f t="shared" si="5"/>
      </c>
      <c r="J47" s="202">
        <f t="shared" si="6"/>
      </c>
      <c r="K47" s="202">
        <f t="shared" si="7"/>
      </c>
      <c r="L47" s="202">
        <f t="shared" si="8"/>
      </c>
      <c r="N47" s="166"/>
      <c r="O47" s="167" t="s">
        <v>32</v>
      </c>
      <c r="P47" s="165">
        <f>IF(AD23="c",mabs(Q47,R47,S47,T47,U47,V47,W47,X47,Y47,Z47)/COUNT(Q47:Z47),"")</f>
      </c>
      <c r="Q47" s="165">
        <f>IF(AD23="c",mlm1(Tech!DB23)-mlm1(Tech!CQ23),"")</f>
      </c>
      <c r="R47" s="165">
        <f>IF(AD23="c",mlmx(Tech!DC23,Tech!DB23)-mlmx(Tech!CR23,Tech!CQ23),"")</f>
      </c>
      <c r="S47" s="165">
        <f>IF(AND(AD23="c",S14&lt;&gt;""),mlmx(Tech!DD23,Tech!DB23)-mlmx(Tech!CS23,Tech!CQ23),"")</f>
      </c>
      <c r="T47" s="165">
        <f>IF(AND(AD23="c",T14&lt;&gt;""),mlmx(Tech!DE23,Tech!DB23)-mlmx(Tech!CT23,Tech!CQ23),"")</f>
      </c>
      <c r="U47" s="165">
        <f>IF(AND(AD23="c",U14&lt;&gt;""),mlmx(Tech!DF23,Tech!DB23)-mlmx(Tech!CU23,Tech!CQ23),"")</f>
      </c>
      <c r="V47" s="165">
        <f>IF(AND(AD23="c",V14&lt;&gt;""),mlmx(Tech!DG23,Tech!DB23)-mlmx(Tech!CV23,Tech!CQ23),"")</f>
      </c>
      <c r="W47" s="165">
        <f>IF(AND(AD23="c",W14&lt;&gt;""),mlmx(Tech!DH23,Tech!DB23)-mlmx(Tech!CW23,Tech!CQ23),"")</f>
      </c>
      <c r="X47" s="165">
        <f>IF(AND(AD23="c",X14&lt;&gt;""),mlmx(Tech!DI23,Tech!DB23)-mlmx(Tech!CX23,Tech!CQ23),"")</f>
      </c>
      <c r="Y47" s="165">
        <f>IF(AND(AD23="c",Y14&lt;&gt;""),mlmx(Tech!DJ23,Tech!DB23)-mlmx(Tech!CY23,Tech!CQ23),"")</f>
      </c>
      <c r="Z47" s="165">
        <f>IF(AND(AD23="c",Z14&lt;&gt;""),mlmx(Tech!DK23,Tech!DB23)-mlmx(Tech!CZ23,Tech!CQ23),"")</f>
      </c>
      <c r="AB47" s="105">
        <f t="shared" si="9"/>
      </c>
      <c r="AC47" s="106">
        <f t="shared" si="10"/>
      </c>
      <c r="AD47" s="47">
        <f t="shared" si="11"/>
      </c>
      <c r="AE47" s="57"/>
    </row>
    <row r="48" spans="2:31" ht="12.75">
      <c r="B48" s="192" t="str">
        <f t="shared" si="12"/>
        <v>---</v>
      </c>
      <c r="C48" s="197"/>
      <c r="D48" s="202">
        <f t="shared" si="0"/>
      </c>
      <c r="E48" s="202">
        <f t="shared" si="1"/>
      </c>
      <c r="F48" s="202">
        <f t="shared" si="2"/>
      </c>
      <c r="G48" s="202">
        <f t="shared" si="3"/>
      </c>
      <c r="H48" s="202">
        <f t="shared" si="4"/>
      </c>
      <c r="I48" s="202">
        <f t="shared" si="5"/>
      </c>
      <c r="J48" s="202">
        <f t="shared" si="6"/>
      </c>
      <c r="K48" s="202">
        <f t="shared" si="7"/>
      </c>
      <c r="L48" s="202">
        <f t="shared" si="8"/>
      </c>
      <c r="N48" s="166">
        <f>IF(AB24="","",AB24)</f>
      </c>
      <c r="O48" s="164" t="s">
        <v>31</v>
      </c>
      <c r="P48" s="165">
        <f>IF(AD24="b",mabs(Q48,R48,S48,T48,U48,V48,W48,X48,Y48,Z48)/COUNT(Q48:Z48),"")</f>
      </c>
      <c r="Q48" s="165">
        <f>IF(AD24="b",mlm1(Tech!AN24)-mlm1(Tech!AC24),"")</f>
      </c>
      <c r="R48" s="165">
        <f>IF(AD24="b",mlmx(Tech!AO24,Tech!AN24)-mlmx(Tech!AD24,Tech!AC24),"")</f>
      </c>
      <c r="S48" s="165">
        <f>IF(AND(AD24="b",S14&lt;&gt;""),mlmx(Tech!AP24,Tech!AN24)-mlmx(Tech!AE24,Tech!AC24),"")</f>
      </c>
      <c r="T48" s="165">
        <f>IF(AND(AD24="b",T14&lt;&gt;""),mlmx(Tech!AQ24,Tech!AN24)-mlmx(Tech!AF24,Tech!AC24),"")</f>
      </c>
      <c r="U48" s="165">
        <f>IF(AND(AD24="b",U14&lt;&gt;""),mlmx(Tech!AR24,Tech!AN24)-mlmx(Tech!AG24,Tech!AC24),"")</f>
      </c>
      <c r="V48" s="165">
        <f>IF(AND(AD24="b",V14&lt;&gt;""),mlmx(Tech!AS24,Tech!AN24)-mlmx(Tech!AH24,Tech!AC24),"")</f>
      </c>
      <c r="W48" s="165">
        <f>IF(AND(AD24="b",W14&lt;&gt;""),mlmx(Tech!AT24,Tech!AN24)-mlmx(Tech!AI24,Tech!AC24),"")</f>
      </c>
      <c r="X48" s="165">
        <f>IF(AND(AD24="b",X14&lt;&gt;""),mlmx(Tech!AU24,Tech!AN24)-mlmx(Tech!AJ24,Tech!AC24),"")</f>
      </c>
      <c r="Y48" s="165">
        <f>IF(AND(AD24="b",Y14&lt;&gt;""),mlmx(Tech!AV24,Tech!AN24)-mlmx(Tech!AK24,Tech!AC24),"")</f>
      </c>
      <c r="Z48" s="165">
        <f>IF(AND(AD24="b",Z14&lt;&gt;""),mlmx(Tech!AW24,Tech!AN24)-mlmx(Tech!AL24,Tech!AC24),"")</f>
      </c>
      <c r="AB48" s="105">
        <f t="shared" si="9"/>
      </c>
      <c r="AC48" s="106">
        <f t="shared" si="10"/>
      </c>
      <c r="AD48" s="47">
        <f t="shared" si="11"/>
      </c>
      <c r="AE48" s="57"/>
    </row>
    <row r="49" spans="2:31" ht="12.75">
      <c r="B49" s="192" t="str">
        <f t="shared" si="12"/>
        <v>---</v>
      </c>
      <c r="C49" s="197"/>
      <c r="D49" s="202">
        <f t="shared" si="0"/>
      </c>
      <c r="E49" s="202">
        <f t="shared" si="1"/>
      </c>
      <c r="F49" s="202">
        <f t="shared" si="2"/>
      </c>
      <c r="G49" s="202">
        <f t="shared" si="3"/>
      </c>
      <c r="H49" s="202">
        <f t="shared" si="4"/>
      </c>
      <c r="I49" s="202">
        <f t="shared" si="5"/>
      </c>
      <c r="J49" s="202">
        <f t="shared" si="6"/>
      </c>
      <c r="K49" s="202">
        <f t="shared" si="7"/>
      </c>
      <c r="L49" s="202">
        <f t="shared" si="8"/>
      </c>
      <c r="N49" s="166"/>
      <c r="O49" s="167" t="s">
        <v>103</v>
      </c>
      <c r="P49" s="165">
        <f>IF(AD24="c",mabs(Q49,R49,S49,T49,U49,V49,W49,X49,Y49,Z49)/COUNT(Q49:Z49),"")</f>
      </c>
      <c r="Q49" s="165">
        <f>IF(AD24="c",mlm1(Tech!BJ24)-mlm1(Tech!AY24),"")</f>
      </c>
      <c r="R49" s="165">
        <f>IF(AD24="c",mlmx(Tech!BK24,Tech!BJ24)-mlmx(Tech!AZ24,Tech!AY24),"")</f>
      </c>
      <c r="S49" s="165">
        <f>IF(AND(AD24="c",S14&lt;&gt;""),mlmx(Tech!BL24,Tech!BJ24)-mlmx(Tech!BA24,Tech!AY24),"")</f>
      </c>
      <c r="T49" s="165">
        <f>IF(AND(AD24="c",T14&lt;&gt;""),mlmx(Tech!BM24,Tech!BJ24)-mlmx(Tech!BB24,Tech!AY24),"")</f>
      </c>
      <c r="U49" s="165">
        <f>IF(AND(AD24="c",U14&lt;&gt;""),mlmx(Tech!BN24,Tech!BJ24)-mlmx(Tech!BC24,Tech!AY24),"")</f>
      </c>
      <c r="V49" s="165">
        <f>IF(AND(AD24="c",V14&lt;&gt;""),mlmx(Tech!BO24,Tech!BJ24)-mlmx(Tech!BD24,Tech!AY24),"")</f>
      </c>
      <c r="W49" s="165">
        <f>IF(AND(AD24="c",W14&lt;&gt;""),mlmx(Tech!BP24,Tech!BJ24)-mlmx(Tech!BE24,Tech!AY24),"")</f>
      </c>
      <c r="X49" s="165">
        <f>IF(AND(AD24="c",X14&lt;&gt;""),mlmx(Tech!BQ24,Tech!BJ24)-mlmx(Tech!BF24,Tech!AY24),"")</f>
      </c>
      <c r="Y49" s="165">
        <f>IF(AND(AD24="c",Y14&lt;&gt;""),mlmx(Tech!BR24,Tech!BJ24)-mlmx(Tech!BG24,Tech!AY24),"")</f>
      </c>
      <c r="Z49" s="165">
        <f>IF(AND(AD24="c",Z14&lt;&gt;""),mlmx(Tech!BS24,Tech!BJ24)-mlmx(Tech!BH24,Tech!AY24),"")</f>
      </c>
      <c r="AB49" s="105">
        <f t="shared" si="9"/>
      </c>
      <c r="AC49" s="106">
        <f t="shared" si="10"/>
      </c>
      <c r="AD49" s="47">
        <f t="shared" si="11"/>
      </c>
      <c r="AE49" s="57"/>
    </row>
    <row r="50" spans="2:31" ht="12.75">
      <c r="B50" s="192" t="str">
        <f t="shared" si="12"/>
        <v>---</v>
      </c>
      <c r="C50" s="197"/>
      <c r="D50" s="202">
        <f t="shared" si="0"/>
      </c>
      <c r="E50" s="202">
        <f t="shared" si="1"/>
      </c>
      <c r="F50" s="202">
        <f t="shared" si="2"/>
      </c>
      <c r="G50" s="202">
        <f t="shared" si="3"/>
      </c>
      <c r="H50" s="202">
        <f t="shared" si="4"/>
      </c>
      <c r="I50" s="202">
        <f t="shared" si="5"/>
      </c>
      <c r="J50" s="202">
        <f t="shared" si="6"/>
      </c>
      <c r="K50" s="202">
        <f t="shared" si="7"/>
      </c>
      <c r="L50" s="202">
        <f t="shared" si="8"/>
      </c>
      <c r="N50" s="166"/>
      <c r="O50" s="167" t="s">
        <v>104</v>
      </c>
      <c r="P50" s="165">
        <f>IF(AD24="c",mabs(Q50,R50,S50,T50,U50,V50,W50,X50,Y50,Z50)/COUNT(Q50:Z50),"")</f>
      </c>
      <c r="Q50" s="165">
        <f>IF(AD24="c",mlm1(Tech!CF24)-mlm1(Tech!BU24),"")</f>
      </c>
      <c r="R50" s="165">
        <f>IF(AD24="c",mlmx(Tech!CG24,Tech!CF24)-mlmx(Tech!BV24,Tech!BU24),"")</f>
      </c>
      <c r="S50" s="165">
        <f>IF(AND(AD24="c",S14&lt;&gt;""),mlmx(Tech!CH24,Tech!CF24)-mlmx(Tech!BW24,Tech!BU24),"")</f>
      </c>
      <c r="T50" s="165">
        <f>IF(AND(AD24="c",T14&lt;&gt;""),mlmx(Tech!CI24,Tech!CF24)-mlmx(Tech!BX24,Tech!BU24),"")</f>
      </c>
      <c r="U50" s="165">
        <f>IF(AND(AD24="c",U14&lt;&gt;""),mlmx(Tech!CJ24,Tech!CF24)-mlmx(Tech!BY24,Tech!BU24),"")</f>
      </c>
      <c r="V50" s="165">
        <f>IF(AND(AD24="c",V14&lt;&gt;""),mlmx(Tech!CK24,Tech!CF24)-mlmx(Tech!BZ24,Tech!BU24),"")</f>
      </c>
      <c r="W50" s="165">
        <f>IF(AND(AD24="c",W14&lt;&gt;""),mlmx(Tech!CL24,Tech!CF24)-mlmx(Tech!CA24,Tech!BU24),"")</f>
      </c>
      <c r="X50" s="165">
        <f>IF(AND(AD24="c",X14&lt;&gt;""),mlmx(Tech!CM24,Tech!CF24)-mlmx(Tech!CB24,Tech!BU24),"")</f>
      </c>
      <c r="Y50" s="165">
        <f>IF(AND(AD24="c",Y14&lt;&gt;""),mlmx(Tech!CN24,Tech!CF24)-mlmx(Tech!CC24,Tech!BU24),"")</f>
      </c>
      <c r="Z50" s="165">
        <f>IF(AND(AD24="c",Z14&lt;&gt;""),mlmx(Tech!CO24,Tech!CF24)-mlmx(Tech!CD24,Tech!BU24),"")</f>
      </c>
      <c r="AB50" s="105">
        <f t="shared" si="9"/>
      </c>
      <c r="AC50" s="106">
        <f t="shared" si="10"/>
      </c>
      <c r="AD50" s="47">
        <f t="shared" si="11"/>
      </c>
      <c r="AE50" s="57"/>
    </row>
    <row r="51" spans="2:31" ht="12.75">
      <c r="B51" s="192" t="str">
        <f t="shared" si="12"/>
        <v>---</v>
      </c>
      <c r="C51" s="197"/>
      <c r="D51" s="202">
        <f t="shared" si="0"/>
      </c>
      <c r="E51" s="202">
        <f t="shared" si="1"/>
      </c>
      <c r="F51" s="202">
        <f t="shared" si="2"/>
      </c>
      <c r="G51" s="202">
        <f t="shared" si="3"/>
      </c>
      <c r="H51" s="202">
        <f t="shared" si="4"/>
      </c>
      <c r="I51" s="202">
        <f t="shared" si="5"/>
      </c>
      <c r="J51" s="202">
        <f t="shared" si="6"/>
      </c>
      <c r="K51" s="202">
        <f t="shared" si="7"/>
      </c>
      <c r="L51" s="202">
        <f t="shared" si="8"/>
      </c>
      <c r="N51" s="166"/>
      <c r="O51" s="167" t="s">
        <v>32</v>
      </c>
      <c r="P51" s="165">
        <f>IF(AD24="c",mabs(Q51,R51,S51,T51,U51,V51,W51,X51,Y51,Z51)/COUNT(Q51:Z51),"")</f>
      </c>
      <c r="Q51" s="165">
        <f>IF(AD24="c",mlm1(Tech!DB24)-mlm1(Tech!CQ24),"")</f>
      </c>
      <c r="R51" s="165">
        <f>IF(AD24="c",mlmx(Tech!DC24,Tech!DB24)-mlmx(Tech!CR24,Tech!CQ24),"")</f>
      </c>
      <c r="S51" s="165">
        <f>IF(AND(AD24="c",S14&lt;&gt;""),mlmx(Tech!DD24,Tech!DB24)-mlmx(Tech!CS24,Tech!CQ24),"")</f>
      </c>
      <c r="T51" s="165">
        <f>IF(AND(AD24="c",T14&lt;&gt;""),mlmx(Tech!DE24,Tech!DB24)-mlmx(Tech!CT24,Tech!CQ24),"")</f>
      </c>
      <c r="U51" s="165">
        <f>IF(AND(AD24="c",U14&lt;&gt;""),mlmx(Tech!DF24,Tech!DB24)-mlmx(Tech!CU24,Tech!CQ24),"")</f>
      </c>
      <c r="V51" s="165">
        <f>IF(AND(AD24="c",V14&lt;&gt;""),mlmx(Tech!DG24,Tech!DB24)-mlmx(Tech!CV24,Tech!CQ24),"")</f>
      </c>
      <c r="W51" s="165">
        <f>IF(AND(AD24="c",W14&lt;&gt;""),mlmx(Tech!DH24,Tech!DB24)-mlmx(Tech!CW24,Tech!CQ24),"")</f>
      </c>
      <c r="X51" s="165">
        <f>IF(AND(AD24="c",X14&lt;&gt;""),mlmx(Tech!DI24,Tech!DB24)-mlmx(Tech!CX24,Tech!CQ24),"")</f>
      </c>
      <c r="Y51" s="165">
        <f>IF(AND(AD24="c",Y14&lt;&gt;""),mlmx(Tech!DJ24,Tech!DB24)-mlmx(Tech!CY24,Tech!CQ24),"")</f>
      </c>
      <c r="Z51" s="165">
        <f>IF(AND(AD24="c",Z14&lt;&gt;""),mlmx(Tech!DK24,Tech!DB24)-mlmx(Tech!CZ24,Tech!CQ24),"")</f>
      </c>
      <c r="AB51" s="105">
        <f t="shared" si="9"/>
      </c>
      <c r="AC51" s="106">
        <f t="shared" si="10"/>
      </c>
      <c r="AD51" s="47">
        <f t="shared" si="11"/>
      </c>
      <c r="AE51" s="57"/>
    </row>
    <row r="52" spans="2:31" ht="12.75">
      <c r="B52" s="192" t="str">
        <f t="shared" si="12"/>
        <v>---</v>
      </c>
      <c r="C52" s="197"/>
      <c r="D52" s="202">
        <f t="shared" si="0"/>
      </c>
      <c r="E52" s="202">
        <f t="shared" si="1"/>
      </c>
      <c r="F52" s="202">
        <f t="shared" si="2"/>
      </c>
      <c r="G52" s="202">
        <f t="shared" si="3"/>
      </c>
      <c r="H52" s="202">
        <f t="shared" si="4"/>
      </c>
      <c r="I52" s="202">
        <f t="shared" si="5"/>
      </c>
      <c r="J52" s="202">
        <f t="shared" si="6"/>
      </c>
      <c r="K52" s="202">
        <f t="shared" si="7"/>
      </c>
      <c r="L52" s="202">
        <f t="shared" si="8"/>
      </c>
      <c r="N52" s="166">
        <f>IF(AB25="","",AB25)</f>
      </c>
      <c r="O52" s="164" t="s">
        <v>31</v>
      </c>
      <c r="P52" s="165">
        <f>IF(AD25="b",mabs(Q52,R52,S52,T52,U52,V52,W52,X52,Y52,Z52)/COUNT(Q52:Z52),"")</f>
      </c>
      <c r="Q52" s="165">
        <f>IF(AD25="b",mlm1(Tech!AN25)-mlm1(Tech!AC25),"")</f>
      </c>
      <c r="R52" s="165">
        <f>IF(AD25="b",mlmx(Tech!AO25,Tech!AN25)-mlmx(Tech!AD25,Tech!AC25),"")</f>
      </c>
      <c r="S52" s="165">
        <f>IF(AND(AD25="b",S14&lt;&gt;""),mlmx(Tech!AP25,Tech!AN25)-mlmx(Tech!AE25,Tech!AC25),"")</f>
      </c>
      <c r="T52" s="165">
        <f>IF(AND(AD25="b",T14&lt;&gt;""),mlmx(Tech!AQ25,Tech!AN25)-mlmx(Tech!AF25,Tech!AC25),"")</f>
      </c>
      <c r="U52" s="165">
        <f>IF(AND(AD25="b",U14&lt;&gt;""),mlmx(Tech!AR25,Tech!AN25)-mlmx(Tech!AG25,Tech!AC25),"")</f>
      </c>
      <c r="V52" s="165">
        <f>IF(AND(AD25="b",V14&lt;&gt;""),mlmx(Tech!AS25,Tech!AN25)-mlmx(Tech!AH25,Tech!AC25),"")</f>
      </c>
      <c r="W52" s="165">
        <f>IF(AND(AD25="b",W14&lt;&gt;""),mlmx(Tech!AT25,Tech!AN25)-mlmx(Tech!AI25,Tech!AC25),"")</f>
      </c>
      <c r="X52" s="165">
        <f>IF(AND(AD25="b",X14&lt;&gt;""),mlmx(Tech!AU25,Tech!AN25)-mlmx(Tech!AJ25,Tech!AC25),"")</f>
      </c>
      <c r="Y52" s="165">
        <f>IF(AND(AD25="b",Y14&lt;&gt;""),mlmx(Tech!AV25,Tech!AN25)-mlmx(Tech!AK25,Tech!AC25),"")</f>
      </c>
      <c r="Z52" s="165">
        <f>IF(AND(AD25="b",Z14&lt;&gt;""),mlmx(Tech!AW25,Tech!AN25)-mlmx(Tech!AL25,Tech!AC25),"")</f>
      </c>
      <c r="AB52" s="105">
        <f t="shared" si="9"/>
      </c>
      <c r="AC52" s="106">
        <f t="shared" si="10"/>
      </c>
      <c r="AD52" s="47">
        <f t="shared" si="11"/>
      </c>
      <c r="AE52" s="57"/>
    </row>
    <row r="53" spans="2:31" ht="12.75">
      <c r="B53" s="192" t="str">
        <f t="shared" si="12"/>
        <v>---</v>
      </c>
      <c r="C53" s="197"/>
      <c r="D53" s="202">
        <f t="shared" si="0"/>
      </c>
      <c r="E53" s="202">
        <f t="shared" si="1"/>
      </c>
      <c r="F53" s="202">
        <f t="shared" si="2"/>
      </c>
      <c r="G53" s="202">
        <f t="shared" si="3"/>
      </c>
      <c r="H53" s="202">
        <f t="shared" si="4"/>
      </c>
      <c r="I53" s="202">
        <f t="shared" si="5"/>
      </c>
      <c r="J53" s="202">
        <f t="shared" si="6"/>
      </c>
      <c r="K53" s="202">
        <f t="shared" si="7"/>
      </c>
      <c r="L53" s="202">
        <f t="shared" si="8"/>
      </c>
      <c r="N53" s="166"/>
      <c r="O53" s="167" t="s">
        <v>103</v>
      </c>
      <c r="P53" s="165">
        <f>IF(AD25="c",mabs(Q53,R53,S53,T53,U53,V53,W53,X53,Y53,Z53)/COUNT(Q53:Z53),"")</f>
      </c>
      <c r="Q53" s="165">
        <f>IF(AD25="c",mlm1(Tech!BJ25)-mlm1(Tech!AY25),"")</f>
      </c>
      <c r="R53" s="165">
        <f>IF(AD25="c",mlmx(Tech!BK25,Tech!BJ25)-mlmx(Tech!AZ25,Tech!AY25),"")</f>
      </c>
      <c r="S53" s="165">
        <f>IF(AND(AD25="c",S14&lt;&gt;""),mlmx(Tech!BL25,Tech!BJ25)-mlmx(Tech!BA25,Tech!AY25),"")</f>
      </c>
      <c r="T53" s="165">
        <f>IF(AND(AD25="c",T14&lt;&gt;""),mlmx(Tech!BM25,Tech!BJ25)-mlmx(Tech!BB25,Tech!AY25),"")</f>
      </c>
      <c r="U53" s="165">
        <f>IF(AND(AD25="c",U14&lt;&gt;""),mlmx(Tech!BN25,Tech!BJ25)-mlmx(Tech!BC25,Tech!AY25),"")</f>
      </c>
      <c r="V53" s="165">
        <f>IF(AND(AD25="c",V14&lt;&gt;""),mlmx(Tech!BO25,Tech!BJ25)-mlmx(Tech!BD25,Tech!AY25),"")</f>
      </c>
      <c r="W53" s="165">
        <f>IF(AND(AD25="c",W14&lt;&gt;""),mlmx(Tech!BP25,Tech!BJ25)-mlmx(Tech!BE25,Tech!AY25),"")</f>
      </c>
      <c r="X53" s="165">
        <f>IF(AND(AD25="c",X14&lt;&gt;""),mlmx(Tech!BQ25,Tech!BJ25)-mlmx(Tech!BF25,Tech!AY25),"")</f>
      </c>
      <c r="Y53" s="165">
        <f>IF(AND(AD25="c",Y14&lt;&gt;""),mlmx(Tech!BR25,Tech!BJ25)-mlmx(Tech!BG25,Tech!AY25),"")</f>
      </c>
      <c r="Z53" s="165">
        <f>IF(AND(AD25="c",Z14&lt;&gt;""),mlmx(Tech!BS25,Tech!BJ25)-mlmx(Tech!BH25,Tech!AY25),"")</f>
      </c>
      <c r="AB53" s="105">
        <f t="shared" si="9"/>
      </c>
      <c r="AC53" s="106">
        <f t="shared" si="10"/>
      </c>
      <c r="AD53" s="47">
        <f t="shared" si="11"/>
      </c>
      <c r="AE53" s="57"/>
    </row>
    <row r="54" spans="2:31" ht="12.75">
      <c r="B54" s="192" t="str">
        <f t="shared" si="12"/>
        <v>---</v>
      </c>
      <c r="C54" s="197"/>
      <c r="D54" s="202">
        <f t="shared" si="0"/>
      </c>
      <c r="E54" s="202">
        <f t="shared" si="1"/>
      </c>
      <c r="F54" s="202">
        <f t="shared" si="2"/>
      </c>
      <c r="G54" s="202">
        <f t="shared" si="3"/>
      </c>
      <c r="H54" s="202">
        <f t="shared" si="4"/>
      </c>
      <c r="I54" s="202">
        <f t="shared" si="5"/>
      </c>
      <c r="J54" s="202">
        <f t="shared" si="6"/>
      </c>
      <c r="K54" s="202">
        <f t="shared" si="7"/>
      </c>
      <c r="L54" s="202">
        <f t="shared" si="8"/>
      </c>
      <c r="N54" s="166"/>
      <c r="O54" s="167" t="s">
        <v>104</v>
      </c>
      <c r="P54" s="165">
        <f>IF(AD25="c",mabs(Q54,R54,S54,T54,U54,V54,W54,X54,Y54,Z54)/COUNT(Q54:Z54),"")</f>
      </c>
      <c r="Q54" s="165">
        <f>IF(AD25="c",mlm1(Tech!CF25)-mlm1(Tech!BU25),"")</f>
      </c>
      <c r="R54" s="165">
        <f>IF(AD25="c",mlmx(Tech!CG25,Tech!CF25)-mlmx(Tech!BV25,Tech!BU25),"")</f>
      </c>
      <c r="S54" s="165">
        <f>IF(AND(AD25="c",S14&lt;&gt;""),mlmx(Tech!CH25,Tech!CF25)-mlmx(Tech!BW25,Tech!BU25),"")</f>
      </c>
      <c r="T54" s="165">
        <f>IF(AND(AD25="c",T14&lt;&gt;""),mlmx(Tech!CI25,Tech!CF25)-mlmx(Tech!BX25,Tech!BU25),"")</f>
      </c>
      <c r="U54" s="165">
        <f>IF(AND(AD25="c",U14&lt;&gt;""),mlmx(Tech!CJ25,Tech!CF25)-mlmx(Tech!BY25,Tech!BU25),"")</f>
      </c>
      <c r="V54" s="165">
        <f>IF(AND(AD25="c",V14&lt;&gt;""),mlmx(Tech!CK25,Tech!CF25)-mlmx(Tech!BZ25,Tech!BU25),"")</f>
      </c>
      <c r="W54" s="165">
        <f>IF(AND(AD25="c",W14&lt;&gt;""),mlmx(Tech!CL25,Tech!CF25)-mlmx(Tech!CA25,Tech!BU25),"")</f>
      </c>
      <c r="X54" s="165">
        <f>IF(AND(AD25="c",X14&lt;&gt;""),mlmx(Tech!CM25,Tech!CF25)-mlmx(Tech!CB25,Tech!BU25),"")</f>
      </c>
      <c r="Y54" s="165">
        <f>IF(AND(AD25="c",Y14&lt;&gt;""),mlmx(Tech!CN25,Tech!CF25)-mlmx(Tech!CC25,Tech!BU25),"")</f>
      </c>
      <c r="Z54" s="165">
        <f>IF(AND(AD25="c",Z14&lt;&gt;""),mlmx(Tech!CO25,Tech!CF25)-mlmx(Tech!CD25,Tech!BU25),"")</f>
      </c>
      <c r="AB54" s="105">
        <f t="shared" si="9"/>
      </c>
      <c r="AC54" s="106">
        <f t="shared" si="10"/>
      </c>
      <c r="AD54" s="47">
        <f t="shared" si="11"/>
      </c>
      <c r="AE54" s="57"/>
    </row>
    <row r="55" spans="2:31" ht="12.75">
      <c r="B55" s="192" t="str">
        <f t="shared" si="12"/>
        <v>---</v>
      </c>
      <c r="C55" s="197"/>
      <c r="D55" s="202">
        <f t="shared" si="0"/>
      </c>
      <c r="E55" s="202">
        <f t="shared" si="1"/>
      </c>
      <c r="F55" s="202">
        <f t="shared" si="2"/>
      </c>
      <c r="G55" s="202">
        <f t="shared" si="3"/>
      </c>
      <c r="H55" s="202">
        <f t="shared" si="4"/>
      </c>
      <c r="I55" s="202">
        <f t="shared" si="5"/>
      </c>
      <c r="J55" s="202">
        <f t="shared" si="6"/>
      </c>
      <c r="K55" s="202">
        <f t="shared" si="7"/>
      </c>
      <c r="L55" s="202">
        <f t="shared" si="8"/>
      </c>
      <c r="N55" s="166"/>
      <c r="O55" s="167" t="s">
        <v>32</v>
      </c>
      <c r="P55" s="165">
        <f>IF(AD25="c",mabs(Q55,R55,S55,T55,U55,V55,W55,X55,Y55,Z55)/COUNT(Q55:Z55),"")</f>
      </c>
      <c r="Q55" s="165">
        <f>IF(AD25="c",mlm1(Tech!DB25)-mlm1(Tech!CQ25),"")</f>
      </c>
      <c r="R55" s="165">
        <f>IF(AD25="c",mlmx(Tech!DC25,Tech!DB25)-mlmx(Tech!CR25,Tech!CQ25),"")</f>
      </c>
      <c r="S55" s="165">
        <f>IF(AND(AD25="c",S14&lt;&gt;""),mlmx(Tech!DD25,Tech!DB25)-mlmx(Tech!CS25,Tech!CQ25),"")</f>
      </c>
      <c r="T55" s="165">
        <f>IF(AND(AD25="c",T14&lt;&gt;""),mlmx(Tech!DE25,Tech!DB25)-mlmx(Tech!CT25,Tech!CQ25),"")</f>
      </c>
      <c r="U55" s="165">
        <f>IF(AND(AD25="c",U14&lt;&gt;""),mlmx(Tech!DF25,Tech!DB25)-mlmx(Tech!CU25,Tech!CQ25),"")</f>
      </c>
      <c r="V55" s="165">
        <f>IF(AND(AD25="c",V14&lt;&gt;""),mlmx(Tech!DG25,Tech!DB25)-mlmx(Tech!CV25,Tech!CQ25),"")</f>
      </c>
      <c r="W55" s="165">
        <f>IF(AND(AD25="c",W14&lt;&gt;""),mlmx(Tech!DH25,Tech!DB25)-mlmx(Tech!CW25,Tech!CQ25),"")</f>
      </c>
      <c r="X55" s="165">
        <f>IF(AND(AD25="c",X14&lt;&gt;""),mlmx(Tech!DI25,Tech!DB25)-mlmx(Tech!CX25,Tech!CQ25),"")</f>
      </c>
      <c r="Y55" s="165">
        <f>IF(AND(AD25="c",Y14&lt;&gt;""),mlmx(Tech!DJ25,Tech!DB25)-mlmx(Tech!CY25,Tech!CQ25),"")</f>
      </c>
      <c r="Z55" s="165">
        <f>IF(AND(AD25="c",Z14&lt;&gt;""),mlmx(Tech!DK25,Tech!DB25)-mlmx(Tech!CZ25,Tech!CQ25),"")</f>
      </c>
      <c r="AB55" s="105">
        <f t="shared" si="9"/>
      </c>
      <c r="AC55" s="106">
        <f t="shared" si="10"/>
      </c>
      <c r="AD55" s="47">
        <f t="shared" si="11"/>
      </c>
      <c r="AE55" s="57"/>
    </row>
    <row r="56" spans="2:31" ht="12.75">
      <c r="B56" s="192" t="str">
        <f t="shared" si="12"/>
        <v>---</v>
      </c>
      <c r="C56" s="197"/>
      <c r="D56" s="202">
        <f t="shared" si="0"/>
      </c>
      <c r="E56" s="202">
        <f t="shared" si="1"/>
      </c>
      <c r="F56" s="202">
        <f t="shared" si="2"/>
      </c>
      <c r="G56" s="202">
        <f t="shared" si="3"/>
      </c>
      <c r="H56" s="202">
        <f t="shared" si="4"/>
      </c>
      <c r="I56" s="202">
        <f t="shared" si="5"/>
      </c>
      <c r="J56" s="202">
        <f t="shared" si="6"/>
      </c>
      <c r="K56" s="202">
        <f t="shared" si="7"/>
      </c>
      <c r="L56" s="202">
        <f t="shared" si="8"/>
      </c>
      <c r="N56" s="166">
        <f>IF(AB26="","",AB26)</f>
      </c>
      <c r="O56" s="164" t="s">
        <v>31</v>
      </c>
      <c r="P56" s="165">
        <f>IF(AD26="b",mabs(Q56,R56,S56,T56,U56,V56,W56,X56,Y56,Z56)/COUNT(Q56:Z56),"")</f>
      </c>
      <c r="Q56" s="165">
        <f>IF(AD26="b",mlm1(Tech!AN26)-mlm1(Tech!AC26),"")</f>
      </c>
      <c r="R56" s="165">
        <f>IF(AD26="b",mlmx(Tech!AO26,Tech!AN26)-mlmx(Tech!AD26,Tech!AC26),"")</f>
      </c>
      <c r="S56" s="165">
        <f>IF(AND(AD26="b",S14&lt;&gt;""),mlmx(Tech!AP26,Tech!AN26)-mlmx(Tech!AE26,Tech!AC26),"")</f>
      </c>
      <c r="T56" s="165">
        <f>IF(AND(AD26="b",T14&lt;&gt;""),mlmx(Tech!AQ26,Tech!AN26)-mlmx(Tech!AF26,Tech!AC26),"")</f>
      </c>
      <c r="U56" s="165">
        <f>IF(AND(AD26="b",U14&lt;&gt;""),mlmx(Tech!AR26,Tech!AN26)-mlmx(Tech!AG26,Tech!AC26),"")</f>
      </c>
      <c r="V56" s="165">
        <f>IF(AND(AD26="b",V14&lt;&gt;""),mlmx(Tech!AS26,Tech!AN26)-mlmx(Tech!AH26,Tech!AC26),"")</f>
      </c>
      <c r="W56" s="165">
        <f>IF(AND(AD26="b",W14&lt;&gt;""),mlmx(Tech!AT26,Tech!AN26)-mlmx(Tech!AI26,Tech!AC26),"")</f>
      </c>
      <c r="X56" s="165">
        <f>IF(AND(AD26="b",X14&lt;&gt;""),mlmx(Tech!AU26,Tech!AN26)-mlmx(Tech!AJ26,Tech!AC26),"")</f>
      </c>
      <c r="Y56" s="165">
        <f>IF(AND(AD26="b",Y14&lt;&gt;""),mlmx(Tech!AV26,Tech!AN26)-mlmx(Tech!AK26,Tech!AC26),"")</f>
      </c>
      <c r="Z56" s="165">
        <f>IF(AND(AD26="b",Z14&lt;&gt;""),mlmx(Tech!AW26,Tech!AN26)-mlmx(Tech!AL26,Tech!AC26),"")</f>
      </c>
      <c r="AB56" s="105">
        <f t="shared" si="9"/>
      </c>
      <c r="AC56" s="106">
        <f t="shared" si="10"/>
      </c>
      <c r="AD56" s="47">
        <f t="shared" si="11"/>
      </c>
      <c r="AE56" s="57"/>
    </row>
    <row r="57" spans="2:31" ht="12.75">
      <c r="B57" s="192" t="str">
        <f t="shared" si="12"/>
        <v>---</v>
      </c>
      <c r="C57" s="197"/>
      <c r="D57" s="202">
        <f t="shared" si="0"/>
      </c>
      <c r="E57" s="202">
        <f t="shared" si="1"/>
      </c>
      <c r="F57" s="202">
        <f t="shared" si="2"/>
      </c>
      <c r="G57" s="202">
        <f t="shared" si="3"/>
      </c>
      <c r="H57" s="202">
        <f t="shared" si="4"/>
      </c>
      <c r="I57" s="202">
        <f t="shared" si="5"/>
      </c>
      <c r="J57" s="202">
        <f t="shared" si="6"/>
      </c>
      <c r="K57" s="202">
        <f t="shared" si="7"/>
      </c>
      <c r="L57" s="202">
        <f t="shared" si="8"/>
      </c>
      <c r="N57" s="166"/>
      <c r="O57" s="167" t="s">
        <v>103</v>
      </c>
      <c r="P57" s="165">
        <f>IF(AD26="c",mabs(Q57,R57,S57,T57,U57,V57,W57,X57,Y57,Z57)/COUNT(Q57:Z57),"")</f>
      </c>
      <c r="Q57" s="165">
        <f>IF(AD26="c",mlm1(Tech!BJ26)-mlm1(Tech!AY26),"")</f>
      </c>
      <c r="R57" s="165">
        <f>IF(AD26="c",mlmx(Tech!BK26,Tech!BJ26)-mlmx(Tech!AZ26,Tech!AY26),"")</f>
      </c>
      <c r="S57" s="165">
        <f>IF(AND(AD26="c",S14&lt;&gt;""),mlmx(Tech!BL26,Tech!BJ26)-mlmx(Tech!BA26,Tech!AY26),"")</f>
      </c>
      <c r="T57" s="165">
        <f>IF(AND(AD26="c",T14&lt;&gt;""),mlmx(Tech!BM26,Tech!BJ26)-mlmx(Tech!BB26,Tech!AY26),"")</f>
      </c>
      <c r="U57" s="165">
        <f>IF(AND(AD26="c",U14&lt;&gt;""),mlmx(Tech!BN26,Tech!BJ26)-mlmx(Tech!BC26,Tech!AY26),"")</f>
      </c>
      <c r="V57" s="165">
        <f>IF(AND(AD26="c",V14&lt;&gt;""),mlmx(Tech!BO26,Tech!BJ26)-mlmx(Tech!BD26,Tech!AY26),"")</f>
      </c>
      <c r="W57" s="165">
        <f>IF(AND(AD26="c",W14&lt;&gt;""),mlmx(Tech!BP26,Tech!BJ26)-mlmx(Tech!BE26,Tech!AY26),"")</f>
      </c>
      <c r="X57" s="165">
        <f>IF(AND(AD26="c",X14&lt;&gt;""),mlmx(Tech!BQ26,Tech!BJ26)-mlmx(Tech!BF26,Tech!AY26),"")</f>
      </c>
      <c r="Y57" s="165">
        <f>IF(AND(AD26="c",Y14&lt;&gt;""),mlmx(Tech!BR26,Tech!BJ26)-mlmx(Tech!BG26,Tech!AY26),"")</f>
      </c>
      <c r="Z57" s="165">
        <f>IF(AND(AD26="c",Z14&lt;&gt;""),mlmx(Tech!BS26,Tech!BJ26)-mlmx(Tech!BH26,Tech!AY26),"")</f>
      </c>
      <c r="AB57" s="105">
        <f t="shared" si="9"/>
      </c>
      <c r="AC57" s="106">
        <f t="shared" si="10"/>
      </c>
      <c r="AD57" s="47">
        <f t="shared" si="11"/>
      </c>
      <c r="AE57" s="57"/>
    </row>
    <row r="58" spans="2:31" ht="12.75">
      <c r="B58" s="192" t="str">
        <f t="shared" si="12"/>
        <v>---</v>
      </c>
      <c r="C58" s="197"/>
      <c r="D58" s="202">
        <f t="shared" si="0"/>
      </c>
      <c r="E58" s="202">
        <f t="shared" si="1"/>
      </c>
      <c r="F58" s="202">
        <f t="shared" si="2"/>
      </c>
      <c r="G58" s="202">
        <f t="shared" si="3"/>
      </c>
      <c r="H58" s="202">
        <f t="shared" si="4"/>
      </c>
      <c r="I58" s="202">
        <f t="shared" si="5"/>
      </c>
      <c r="J58" s="202">
        <f t="shared" si="6"/>
      </c>
      <c r="K58" s="202">
        <f t="shared" si="7"/>
      </c>
      <c r="L58" s="202">
        <f t="shared" si="8"/>
      </c>
      <c r="N58" s="166"/>
      <c r="O58" s="167" t="s">
        <v>104</v>
      </c>
      <c r="P58" s="165">
        <f>IF(AD26="c",mabs(Q58,R58,S58,T58,U58,V58,W58,X58,Y58,Z58)/COUNT(Q58:Z58),"")</f>
      </c>
      <c r="Q58" s="165">
        <f>IF(AD26="c",mlm1(Tech!CF26)-mlm1(Tech!BU26),"")</f>
      </c>
      <c r="R58" s="165">
        <f>IF(AD26="c",mlmx(Tech!CG26,Tech!CF26)-mlmx(Tech!BV26,Tech!BU26),"")</f>
      </c>
      <c r="S58" s="165">
        <f>IF(AND(AD26="c",S14&lt;&gt;""),mlmx(Tech!CH26,Tech!CF26)-mlmx(Tech!BW26,Tech!BU26),"")</f>
      </c>
      <c r="T58" s="165">
        <f>IF(AND(AD26="c",T14&lt;&gt;""),mlmx(Tech!CI26,Tech!CF26)-mlmx(Tech!BX26,Tech!BU26),"")</f>
      </c>
      <c r="U58" s="165">
        <f>IF(AND(AD26="c",U14&lt;&gt;""),mlmx(Tech!CJ26,Tech!CF26)-mlmx(Tech!BY26,Tech!BU26),"")</f>
      </c>
      <c r="V58" s="165">
        <f>IF(AND(AD26="c",V14&lt;&gt;""),mlmx(Tech!CK26,Tech!CF26)-mlmx(Tech!BZ26,Tech!BU26),"")</f>
      </c>
      <c r="W58" s="165">
        <f>IF(AND(AD26="c",W14&lt;&gt;""),mlmx(Tech!CL26,Tech!CF26)-mlmx(Tech!CA26,Tech!BU26),"")</f>
      </c>
      <c r="X58" s="165">
        <f>IF(AND(AD26="c",X14&lt;&gt;""),mlmx(Tech!CM26,Tech!CF26)-mlmx(Tech!CB26,Tech!BU26),"")</f>
      </c>
      <c r="Y58" s="165">
        <f>IF(AND(AD26="c",Y14&lt;&gt;""),mlmx(Tech!CN26,Tech!CF26)-mlmx(Tech!CC26,Tech!BU26),"")</f>
      </c>
      <c r="Z58" s="165">
        <f>IF(AND(AD26="c",Z14&lt;&gt;""),mlmx(Tech!CO26,Tech!CF26)-mlmx(Tech!CD26,Tech!BU26),"")</f>
      </c>
      <c r="AB58" s="105">
        <f t="shared" si="9"/>
      </c>
      <c r="AC58" s="106">
        <f t="shared" si="10"/>
      </c>
      <c r="AD58" s="47">
        <f t="shared" si="11"/>
      </c>
      <c r="AE58" s="57"/>
    </row>
    <row r="59" spans="2:31" ht="12.75">
      <c r="B59" s="192" t="str">
        <f t="shared" si="12"/>
        <v>---</v>
      </c>
      <c r="C59" s="197"/>
      <c r="D59" s="202">
        <f t="shared" si="0"/>
      </c>
      <c r="E59" s="202">
        <f t="shared" si="1"/>
      </c>
      <c r="F59" s="202">
        <f t="shared" si="2"/>
      </c>
      <c r="G59" s="202">
        <f t="shared" si="3"/>
      </c>
      <c r="H59" s="202">
        <f t="shared" si="4"/>
      </c>
      <c r="I59" s="202">
        <f t="shared" si="5"/>
      </c>
      <c r="J59" s="202">
        <f t="shared" si="6"/>
      </c>
      <c r="K59" s="202">
        <f t="shared" si="7"/>
      </c>
      <c r="L59" s="202">
        <f t="shared" si="8"/>
      </c>
      <c r="N59" s="166"/>
      <c r="O59" s="167" t="s">
        <v>32</v>
      </c>
      <c r="P59" s="165">
        <f>IF(AD26="c",mabs(Q59,R59,S59,T59,U59,V59,W59,X59,Y59,Z59)/COUNT(Q59:Z59),"")</f>
      </c>
      <c r="Q59" s="165">
        <f>IF(AD26="c",mlm1(Tech!DB26)-mlm1(Tech!CQ26),"")</f>
      </c>
      <c r="R59" s="165">
        <f>IF(AD26="c",mlmx(Tech!DC26,Tech!DB26)-mlmx(Tech!CR26,Tech!CQ26),"")</f>
      </c>
      <c r="S59" s="165">
        <f>IF(AND(AD26="c",S14&lt;&gt;""),mlmx(Tech!DD26,Tech!DB26)-mlmx(Tech!CS26,Tech!CQ26),"")</f>
      </c>
      <c r="T59" s="165">
        <f>IF(AND(AD26="c",T14&lt;&gt;""),mlmx(Tech!DE26,Tech!DB26)-mlmx(Tech!CT26,Tech!CQ26),"")</f>
      </c>
      <c r="U59" s="165">
        <f>IF(AND(AD26="c",U14&lt;&gt;""),mlmx(Tech!DF26,Tech!DB26)-mlmx(Tech!CU26,Tech!CQ26),"")</f>
      </c>
      <c r="V59" s="165">
        <f>IF(AND(AD26="c",V14&lt;&gt;""),mlmx(Tech!DG26,Tech!DB26)-mlmx(Tech!CV26,Tech!CQ26),"")</f>
      </c>
      <c r="W59" s="165">
        <f>IF(AND(AD26="c",W14&lt;&gt;""),mlmx(Tech!DH26,Tech!DB26)-mlmx(Tech!CW26,Tech!CQ26),"")</f>
      </c>
      <c r="X59" s="165">
        <f>IF(AND(AD26="c",X14&lt;&gt;""),mlmx(Tech!DI26,Tech!DB26)-mlmx(Tech!CX26,Tech!CQ26),"")</f>
      </c>
      <c r="Y59" s="165">
        <f>IF(AND(AD26="c",Y14&lt;&gt;""),mlmx(Tech!DJ26,Tech!DB26)-mlmx(Tech!CY26,Tech!CQ26),"")</f>
      </c>
      <c r="Z59" s="165">
        <f>IF(AND(AD26="c",Z14&lt;&gt;""),mlmx(Tech!DK26,Tech!DB26)-mlmx(Tech!CZ26,Tech!CQ26),"")</f>
      </c>
      <c r="AB59" s="105">
        <f t="shared" si="9"/>
      </c>
      <c r="AC59" s="106">
        <f t="shared" si="10"/>
      </c>
      <c r="AD59" s="47">
        <f t="shared" si="11"/>
      </c>
      <c r="AE59" s="57"/>
    </row>
    <row r="60" spans="2:31" ht="12.75">
      <c r="B60" s="192" t="str">
        <f t="shared" si="12"/>
        <v>---</v>
      </c>
      <c r="C60" s="197"/>
      <c r="D60" s="202">
        <f t="shared" si="0"/>
      </c>
      <c r="E60" s="202">
        <f t="shared" si="1"/>
      </c>
      <c r="F60" s="202">
        <f t="shared" si="2"/>
      </c>
      <c r="G60" s="202">
        <f t="shared" si="3"/>
      </c>
      <c r="H60" s="202">
        <f t="shared" si="4"/>
      </c>
      <c r="I60" s="202">
        <f t="shared" si="5"/>
      </c>
      <c r="J60" s="202">
        <f t="shared" si="6"/>
      </c>
      <c r="K60" s="202">
        <f t="shared" si="7"/>
      </c>
      <c r="L60" s="202">
        <f t="shared" si="8"/>
      </c>
      <c r="N60" s="166">
        <f>IF(AB27="","",AB27)</f>
      </c>
      <c r="O60" s="164" t="s">
        <v>31</v>
      </c>
      <c r="P60" s="165">
        <f>IF(AD27="b",mabs(Q60,R60,S60,T60,U60,V60,W60,X60,Y60,Z60)/COUNT(Q60:Z60),"")</f>
      </c>
      <c r="Q60" s="165">
        <f>IF(AD27="b",mlm1(Tech!AN27)-mlm1(Tech!AC27),"")</f>
      </c>
      <c r="R60" s="165">
        <f>IF(AD27="b",mlmx(Tech!AO27,Tech!AN27)-mlmx(Tech!AD27,Tech!AC27),"")</f>
      </c>
      <c r="S60" s="165">
        <f>IF(AND(AD27="b",S14&lt;&gt;""),mlmx(Tech!AP27,Tech!AN27)-mlmx(Tech!AE27,Tech!AC27),"")</f>
      </c>
      <c r="T60" s="165">
        <f>IF(AND(AD27="b",T14&lt;&gt;""),mlmx(Tech!AQ27,Tech!AN27)-mlmx(Tech!AF27,Tech!AC27),"")</f>
      </c>
      <c r="U60" s="165">
        <f>IF(AND(AD27="b",U14&lt;&gt;""),mlmx(Tech!AR27,Tech!AN27)-mlmx(Tech!AG27,Tech!AC27),"")</f>
      </c>
      <c r="V60" s="165">
        <f>IF(AND(AD27="b",V14&lt;&gt;""),mlmx(Tech!AS27,Tech!AN27)-mlmx(Tech!AH27,Tech!AC27),"")</f>
      </c>
      <c r="W60" s="165">
        <f>IF(AND(AD27="b",W14&lt;&gt;""),mlmx(Tech!AT27,Tech!AN27)-mlmx(Tech!AI27,Tech!AC27),"")</f>
      </c>
      <c r="X60" s="165">
        <f>IF(AND(AD27="b",X14&lt;&gt;""),mlmx(Tech!AU27,Tech!AN27)-mlmx(Tech!AJ27,Tech!AC27),"")</f>
      </c>
      <c r="Y60" s="165">
        <f>IF(AND(AD27="b",Y14&lt;&gt;""),mlmx(Tech!AV27,Tech!AN27)-mlmx(Tech!AK27,Tech!AC27),"")</f>
      </c>
      <c r="Z60" s="165">
        <f>IF(AND(AD27="b",Z14&lt;&gt;""),mlmx(Tech!AW27,Tech!AN27)-mlmx(Tech!AL27,Tech!AC27),"")</f>
      </c>
      <c r="AB60" s="105">
        <f t="shared" si="9"/>
      </c>
      <c r="AC60" s="106">
        <f t="shared" si="10"/>
      </c>
      <c r="AD60" s="47">
        <f t="shared" si="11"/>
      </c>
      <c r="AE60" s="57"/>
    </row>
    <row r="61" spans="2:31" ht="12.75">
      <c r="B61" s="192" t="str">
        <f t="shared" si="12"/>
        <v>---</v>
      </c>
      <c r="C61" s="197"/>
      <c r="D61" s="202">
        <f t="shared" si="0"/>
      </c>
      <c r="E61" s="202">
        <f t="shared" si="1"/>
      </c>
      <c r="F61" s="202">
        <f t="shared" si="2"/>
      </c>
      <c r="G61" s="202">
        <f t="shared" si="3"/>
      </c>
      <c r="H61" s="202">
        <f t="shared" si="4"/>
      </c>
      <c r="I61" s="202">
        <f t="shared" si="5"/>
      </c>
      <c r="J61" s="202">
        <f t="shared" si="6"/>
      </c>
      <c r="K61" s="202">
        <f t="shared" si="7"/>
      </c>
      <c r="L61" s="202">
        <f t="shared" si="8"/>
      </c>
      <c r="N61" s="166"/>
      <c r="O61" s="167" t="s">
        <v>103</v>
      </c>
      <c r="P61" s="165">
        <f>IF(AD27="c",mabs(Q61,R61,S61,T61,U61,V61,W61,X61,Y61,Z61)/COUNT(Q61:Z61),"")</f>
      </c>
      <c r="Q61" s="165">
        <f>IF(AD27="c",mlm1(Tech!BJ27)-mlm1(Tech!AY27),"")</f>
      </c>
      <c r="R61" s="165">
        <f>IF(AD27="c",mlmx(Tech!BK27,Tech!BJ27)-mlmx(Tech!AZ27,Tech!AY27),"")</f>
      </c>
      <c r="S61" s="165">
        <f>IF(AND(AD27="c",S14&lt;&gt;""),mlmx(Tech!BL27,Tech!BJ27)-mlmx(Tech!BA27,Tech!AY27),"")</f>
      </c>
      <c r="T61" s="165">
        <f>IF(AND(AD27="c",T14&lt;&gt;""),mlmx(Tech!BM27,Tech!BJ27)-mlmx(Tech!BB27,Tech!AY27),"")</f>
      </c>
      <c r="U61" s="165">
        <f>IF(AND(AD27="c",U14&lt;&gt;""),mlmx(Tech!BN27,Tech!BJ27)-mlmx(Tech!BC27,Tech!AY27),"")</f>
      </c>
      <c r="V61" s="165">
        <f>IF(AND(AD27="c",V14&lt;&gt;""),mlmx(Tech!BO27,Tech!BJ27)-mlmx(Tech!BD27,Tech!AY27),"")</f>
      </c>
      <c r="W61" s="165">
        <f>IF(AND(AD27="c",W14&lt;&gt;""),mlmx(Tech!BP27,Tech!BJ27)-mlmx(Tech!BE27,Tech!AY27),"")</f>
      </c>
      <c r="X61" s="165">
        <f>IF(AND(AD27="c",X14&lt;&gt;""),mlmx(Tech!BQ27,Tech!BJ27)-mlmx(Tech!BF27,Tech!AY27),"")</f>
      </c>
      <c r="Y61" s="165">
        <f>IF(AND(AD27="c",Y14&lt;&gt;""),mlmx(Tech!BR27,Tech!BJ27)-mlmx(Tech!BG27,Tech!AY27),"")</f>
      </c>
      <c r="Z61" s="165">
        <f>IF(AND(AD27="c",Z14&lt;&gt;""),mlmx(Tech!BS27,Tech!BJ27)-mlmx(Tech!BH27,Tech!AY27),"")</f>
      </c>
      <c r="AB61" s="105">
        <f t="shared" si="9"/>
      </c>
      <c r="AC61" s="106">
        <f t="shared" si="10"/>
      </c>
      <c r="AD61" s="47">
        <f t="shared" si="11"/>
      </c>
      <c r="AE61" s="57"/>
    </row>
    <row r="62" spans="2:31" ht="12.75">
      <c r="B62" s="192" t="str">
        <f t="shared" si="12"/>
        <v>---</v>
      </c>
      <c r="C62" s="197"/>
      <c r="D62" s="202">
        <f t="shared" si="0"/>
      </c>
      <c r="E62" s="202">
        <f t="shared" si="1"/>
      </c>
      <c r="F62" s="202">
        <f t="shared" si="2"/>
      </c>
      <c r="G62" s="202">
        <f t="shared" si="3"/>
      </c>
      <c r="H62" s="202">
        <f t="shared" si="4"/>
      </c>
      <c r="I62" s="202">
        <f t="shared" si="5"/>
      </c>
      <c r="J62" s="202">
        <f t="shared" si="6"/>
      </c>
      <c r="K62" s="202">
        <f t="shared" si="7"/>
      </c>
      <c r="L62" s="202">
        <f t="shared" si="8"/>
      </c>
      <c r="N62" s="166"/>
      <c r="O62" s="167" t="s">
        <v>104</v>
      </c>
      <c r="P62" s="165">
        <f>IF(AD27="c",mabs(Q62,R62,S62,T62,U62,V62,W62,X62,Y62,Z62)/COUNT(Q62:Z62),"")</f>
      </c>
      <c r="Q62" s="165">
        <f>IF(AD27="c",mlm1(Tech!CF27)-mlm1(Tech!BU27),"")</f>
      </c>
      <c r="R62" s="165">
        <f>IF(AD27="c",mlmx(Tech!CG27,Tech!CF27)-mlmx(Tech!BV27,Tech!BU27),"")</f>
      </c>
      <c r="S62" s="165">
        <f>IF(AND(AD27="c",S14&lt;&gt;""),mlmx(Tech!CH27,Tech!CF27)-mlmx(Tech!BW27,Tech!BU27),"")</f>
      </c>
      <c r="T62" s="165">
        <f>IF(AND(AD27="c",T14&lt;&gt;""),mlmx(Tech!CI27,Tech!CF27)-mlmx(Tech!BX27,Tech!BU27),"")</f>
      </c>
      <c r="U62" s="165">
        <f>IF(AND(AD27="c",U14&lt;&gt;""),mlmx(Tech!CJ27,Tech!CF27)-mlmx(Tech!BY27,Tech!BU27),"")</f>
      </c>
      <c r="V62" s="165">
        <f>IF(AND(AD27="c",V14&lt;&gt;""),mlmx(Tech!CK27,Tech!CF27)-mlmx(Tech!BZ27,Tech!BU27),"")</f>
      </c>
      <c r="W62" s="165">
        <f>IF(AND(AD27="c",W14&lt;&gt;""),mlmx(Tech!CL27,Tech!CF27)-mlmx(Tech!CA27,Tech!BU27),"")</f>
      </c>
      <c r="X62" s="165">
        <f>IF(AND(AD27="c",X14&lt;&gt;""),mlmx(Tech!CM27,Tech!CF27)-mlmx(Tech!CB27,Tech!BU27),"")</f>
      </c>
      <c r="Y62" s="165">
        <f>IF(AND(AD27="c",Y14&lt;&gt;""),mlmx(Tech!CN27,Tech!CF27)-mlmx(Tech!CC27,Tech!BU27),"")</f>
      </c>
      <c r="Z62" s="165">
        <f>IF(AND(AD27="c",Z14&lt;&gt;""),mlmx(Tech!CO27,Tech!CF27)-mlmx(Tech!CD27,Tech!BU27),"")</f>
      </c>
      <c r="AB62" s="105">
        <f t="shared" si="9"/>
      </c>
      <c r="AC62" s="106">
        <f t="shared" si="10"/>
      </c>
      <c r="AD62" s="47">
        <f t="shared" si="11"/>
      </c>
      <c r="AE62" s="57"/>
    </row>
    <row r="63" spans="2:31" ht="12.75">
      <c r="B63" s="192" t="str">
        <f t="shared" si="12"/>
        <v>---</v>
      </c>
      <c r="C63" s="197"/>
      <c r="D63" s="202">
        <f t="shared" si="0"/>
      </c>
      <c r="E63" s="202">
        <f t="shared" si="1"/>
      </c>
      <c r="F63" s="202">
        <f t="shared" si="2"/>
      </c>
      <c r="G63" s="202">
        <f t="shared" si="3"/>
      </c>
      <c r="H63" s="202">
        <f t="shared" si="4"/>
      </c>
      <c r="I63" s="202">
        <f t="shared" si="5"/>
      </c>
      <c r="J63" s="202">
        <f t="shared" si="6"/>
      </c>
      <c r="K63" s="202">
        <f t="shared" si="7"/>
      </c>
      <c r="L63" s="202">
        <f t="shared" si="8"/>
      </c>
      <c r="N63" s="166"/>
      <c r="O63" s="167" t="s">
        <v>32</v>
      </c>
      <c r="P63" s="165">
        <f>IF(AD27="c",mabs(Q63,R63,S63,T63,U63,V63,W63,X63,Y63,Z63)/COUNT(Q63:Z63),"")</f>
      </c>
      <c r="Q63" s="165">
        <f>IF(AD27="c",mlm1(Tech!DB27)-mlm1(Tech!CQ27),"")</f>
      </c>
      <c r="R63" s="165">
        <f>IF(AD27="c",mlmx(Tech!DC27,Tech!DB27)-mlmx(Tech!CR27,Tech!CQ27),"")</f>
      </c>
      <c r="S63" s="165">
        <f>IF(AND(AD27="c",S14&lt;&gt;""),mlmx(Tech!DD27,Tech!DB27)-mlmx(Tech!CS27,Tech!CQ27),"")</f>
      </c>
      <c r="T63" s="165">
        <f>IF(AND(AD27="c",T14&lt;&gt;""),mlmx(Tech!DE27,Tech!DB27)-mlmx(Tech!CT27,Tech!CQ27),"")</f>
      </c>
      <c r="U63" s="165">
        <f>IF(AND(AD27="c",U14&lt;&gt;""),mlmx(Tech!DF27,Tech!DB27)-mlmx(Tech!CU27,Tech!CQ27),"")</f>
      </c>
      <c r="V63" s="165">
        <f>IF(AND(AD27="c",V14&lt;&gt;""),mlmx(Tech!DG27,Tech!DB27)-mlmx(Tech!CV27,Tech!CQ27),"")</f>
      </c>
      <c r="W63" s="165">
        <f>IF(AND(AD27="c",W14&lt;&gt;""),mlmx(Tech!DH27,Tech!DB27)-mlmx(Tech!CW27,Tech!CQ27),"")</f>
      </c>
      <c r="X63" s="165">
        <f>IF(AND(AD27="c",X14&lt;&gt;""),mlmx(Tech!DI27,Tech!DB27)-mlmx(Tech!CX27,Tech!CQ27),"")</f>
      </c>
      <c r="Y63" s="165">
        <f>IF(AND(AD27="c",Y14&lt;&gt;""),mlmx(Tech!DJ27,Tech!DB27)-mlmx(Tech!CY27,Tech!CQ27),"")</f>
      </c>
      <c r="Z63" s="165">
        <f>IF(AND(AD27="c",Z14&lt;&gt;""),mlmx(Tech!DK27,Tech!DB27)-mlmx(Tech!CZ27,Tech!CQ27),"")</f>
      </c>
      <c r="AB63" s="105">
        <f t="shared" si="9"/>
      </c>
      <c r="AC63" s="106">
        <f t="shared" si="10"/>
      </c>
      <c r="AD63" s="47">
        <f t="shared" si="11"/>
      </c>
      <c r="AE63" s="57"/>
    </row>
    <row r="64" spans="2:31" ht="12.75">
      <c r="B64" s="192" t="str">
        <f t="shared" si="12"/>
        <v>---</v>
      </c>
      <c r="C64" s="197"/>
      <c r="D64" s="202">
        <f t="shared" si="0"/>
      </c>
      <c r="E64" s="202">
        <f t="shared" si="1"/>
      </c>
      <c r="F64" s="202">
        <f t="shared" si="2"/>
      </c>
      <c r="G64" s="202">
        <f t="shared" si="3"/>
      </c>
      <c r="H64" s="202">
        <f t="shared" si="4"/>
      </c>
      <c r="I64" s="202">
        <f t="shared" si="5"/>
      </c>
      <c r="J64" s="202">
        <f t="shared" si="6"/>
      </c>
      <c r="K64" s="202">
        <f t="shared" si="7"/>
      </c>
      <c r="L64" s="202">
        <f t="shared" si="8"/>
      </c>
      <c r="N64" s="166">
        <f>IF(AB28="","",AB28)</f>
      </c>
      <c r="O64" s="164" t="s">
        <v>31</v>
      </c>
      <c r="P64" s="165">
        <f>IF(AD28="b",mabs(Q64,R64,S64,T64,U64,V64,W64,X64,Y64,Z64)/COUNT(Q64:Z64),"")</f>
      </c>
      <c r="Q64" s="165">
        <f>IF(AD28="b",mlm1(Tech!AN28)-mlm1(Tech!AC28),"")</f>
      </c>
      <c r="R64" s="165">
        <f>IF(AD28="b",mlmx(Tech!AO28,Tech!AN28)-mlmx(Tech!AD28,Tech!AC28),"")</f>
      </c>
      <c r="S64" s="165">
        <f>IF(AND(AD28="b",S14&lt;&gt;""),mlmx(Tech!AP28,Tech!AN28)-mlmx(Tech!AE28,Tech!AC28),"")</f>
      </c>
      <c r="T64" s="165">
        <f>IF(AND(AD28="b",T14&lt;&gt;""),mlmx(Tech!AQ28,Tech!AN28)-mlmx(Tech!AF28,Tech!AC28),"")</f>
      </c>
      <c r="U64" s="165">
        <f>IF(AND(AD28="b",U14&lt;&gt;""),mlmx(Tech!AR28,Tech!AN28)-mlmx(Tech!AG28,Tech!AC28),"")</f>
      </c>
      <c r="V64" s="165">
        <f>IF(AND(AD28="b",V14&lt;&gt;""),mlmx(Tech!AS28,Tech!AN28)-mlmx(Tech!AH28,Tech!AC28),"")</f>
      </c>
      <c r="W64" s="165">
        <f>IF(AND(AD28="b",W14&lt;&gt;""),mlmx(Tech!AT28,Tech!AN28)-mlmx(Tech!AI28,Tech!AC28),"")</f>
      </c>
      <c r="X64" s="165">
        <f>IF(AND(AD28="b",X14&lt;&gt;""),mlmx(Tech!AU28,Tech!AN28)-mlmx(Tech!AJ28,Tech!AC28),"")</f>
      </c>
      <c r="Y64" s="165">
        <f>IF(AND(AD28="b",Y14&lt;&gt;""),mlmx(Tech!AV28,Tech!AN28)-mlmx(Tech!AK28,Tech!AC28),"")</f>
      </c>
      <c r="Z64" s="165">
        <f>IF(AND(AD28="b",Z14&lt;&gt;""),mlmx(Tech!AW28,Tech!AN28)-mlmx(Tech!AL28,Tech!AC28),"")</f>
      </c>
      <c r="AB64" s="105">
        <f t="shared" si="9"/>
      </c>
      <c r="AC64" s="106">
        <f t="shared" si="10"/>
      </c>
      <c r="AD64" s="47">
        <f t="shared" si="11"/>
      </c>
      <c r="AE64" s="57"/>
    </row>
    <row r="65" spans="2:31" ht="12.75">
      <c r="B65" s="193" t="str">
        <f t="shared" si="12"/>
        <v>---</v>
      </c>
      <c r="C65" s="198"/>
      <c r="D65" s="203">
        <f t="shared" si="0"/>
      </c>
      <c r="E65" s="203">
        <f t="shared" si="1"/>
      </c>
      <c r="F65" s="203">
        <f t="shared" si="2"/>
      </c>
      <c r="G65" s="203">
        <f t="shared" si="3"/>
      </c>
      <c r="H65" s="203">
        <f t="shared" si="4"/>
      </c>
      <c r="I65" s="203">
        <f t="shared" si="5"/>
      </c>
      <c r="J65" s="203">
        <f t="shared" si="6"/>
      </c>
      <c r="K65" s="203">
        <f t="shared" si="7"/>
      </c>
      <c r="L65" s="203">
        <f t="shared" si="8"/>
      </c>
      <c r="N65" s="166"/>
      <c r="O65" s="167" t="s">
        <v>103</v>
      </c>
      <c r="P65" s="165">
        <f>IF(AD28="c",mabs(Q65,R65,S65,T65,U65,V65,W65,X65,Y65,Z65)/COUNT(Q65:Z65),"")</f>
      </c>
      <c r="Q65" s="165">
        <f>IF(AD28="c",mlm1(Tech!BJ28)-mlm1(Tech!AY28),"")</f>
      </c>
      <c r="R65" s="165">
        <f>IF(AD28="c",mlmx(Tech!BK28,Tech!BJ28)-mlmx(Tech!AZ28,Tech!AY28),"")</f>
      </c>
      <c r="S65" s="165">
        <f>IF(AND(AD28="c",S14&lt;&gt;""),mlmx(Tech!BL28,Tech!BJ28)-mlmx(Tech!BA28,Tech!AY28),"")</f>
      </c>
      <c r="T65" s="165">
        <f>IF(AND(AD28="c",T14&lt;&gt;""),mlmx(Tech!BM28,Tech!BJ28)-mlmx(Tech!BB28,Tech!AY28),"")</f>
      </c>
      <c r="U65" s="165">
        <f>IF(AND(AD28="c",U14&lt;&gt;""),mlmx(Tech!BN28,Tech!BJ28)-mlmx(Tech!BC28,Tech!AY28),"")</f>
      </c>
      <c r="V65" s="165">
        <f>IF(AND(AD28="c",V14&lt;&gt;""),mlmx(Tech!BO28,Tech!BJ28)-mlmx(Tech!BD28,Tech!AY28),"")</f>
      </c>
      <c r="W65" s="165">
        <f>IF(AND(AD28="c",W14&lt;&gt;""),mlmx(Tech!BP28,Tech!BJ28)-mlmx(Tech!BE28,Tech!AY28),"")</f>
      </c>
      <c r="X65" s="165">
        <f>IF(AND(AD28="c",X14&lt;&gt;""),mlmx(Tech!BQ28,Tech!BJ28)-mlmx(Tech!BF28,Tech!AY28),"")</f>
      </c>
      <c r="Y65" s="165">
        <f>IF(AND(AD28="c",Y14&lt;&gt;""),mlmx(Tech!BR28,Tech!BJ28)-mlmx(Tech!BG28,Tech!AY28),"")</f>
      </c>
      <c r="Z65" s="165">
        <f>IF(AND(AD28="c",Z14&lt;&gt;""),mlmx(Tech!BS28,Tech!BJ28)-mlmx(Tech!BH28,Tech!AY28),"")</f>
      </c>
      <c r="AB65" s="138">
        <f t="shared" si="9"/>
      </c>
      <c r="AC65" s="139">
        <f t="shared" si="10"/>
      </c>
      <c r="AD65" s="47">
        <f t="shared" si="11"/>
      </c>
      <c r="AE65" s="57"/>
    </row>
    <row r="66" spans="14:31" ht="12.75">
      <c r="N66" s="166"/>
      <c r="O66" s="167" t="s">
        <v>104</v>
      </c>
      <c r="P66" s="165">
        <f>IF(AD28="c",mabs(Q66,R66,S66,T66,U66,V66,W66,X66,Y66,Z66)/COUNT(Q66:Z66),"")</f>
      </c>
      <c r="Q66" s="165">
        <f>IF(AD28="c",mlm1(Tech!CF28)-mlm1(Tech!BU28),"")</f>
      </c>
      <c r="R66" s="165">
        <f>IF(AD28="c",mlmx(Tech!CG28,Tech!CF28)-mlmx(Tech!BV28,Tech!BU28),"")</f>
      </c>
      <c r="S66" s="165">
        <f>IF(AND(AD28="c",S14&lt;&gt;""),mlmx(Tech!CH28,Tech!CF28)-mlmx(Tech!BW28,Tech!BU28),"")</f>
      </c>
      <c r="T66" s="165">
        <f>IF(AND(AD28="c",T14&lt;&gt;""),mlmx(Tech!CI28,Tech!CF28)-mlmx(Tech!BX28,Tech!BU28),"")</f>
      </c>
      <c r="U66" s="165">
        <f>IF(AND(AD28="c",U14&lt;&gt;""),mlmx(Tech!CJ28,Tech!CF28)-mlmx(Tech!BY28,Tech!BU28),"")</f>
      </c>
      <c r="V66" s="165">
        <f>IF(AND(AD28="c",V14&lt;&gt;""),mlmx(Tech!CK28,Tech!CF28)-mlmx(Tech!BZ28,Tech!BU28),"")</f>
      </c>
      <c r="W66" s="165">
        <f>IF(AND(AD28="c",W14&lt;&gt;""),mlmx(Tech!CL28,Tech!CF28)-mlmx(Tech!CA28,Tech!BU28),"")</f>
      </c>
      <c r="X66" s="165">
        <f>IF(AND(AD28="c",X14&lt;&gt;""),mlmx(Tech!CM28,Tech!CF28)-mlmx(Tech!CB28,Tech!BU28),"")</f>
      </c>
      <c r="Y66" s="165">
        <f>IF(AND(AD28="c",Y14&lt;&gt;""),mlmx(Tech!CN28,Tech!CF28)-mlmx(Tech!CC28,Tech!BU28),"")</f>
      </c>
      <c r="Z66" s="165">
        <f>IF(AND(AD28="c",Z14&lt;&gt;""),mlmx(Tech!CO28,Tech!CF28)-mlmx(Tech!CD28,Tech!BU28),"")</f>
      </c>
      <c r="AD66" s="22"/>
      <c r="AE66" s="57"/>
    </row>
    <row r="67" spans="14:31" ht="12.75">
      <c r="N67" s="166"/>
      <c r="O67" s="167" t="s">
        <v>32</v>
      </c>
      <c r="P67" s="165">
        <f>IF(AD28="c",mabs(Q67,R67,S67,T67,U67,V67,W67,X67,Y67,Z67)/COUNT(Q67:Z67),"")</f>
      </c>
      <c r="Q67" s="165">
        <f>IF(AD28="c",mlm1(Tech!DB28)-mlm1(Tech!CQ28),"")</f>
      </c>
      <c r="R67" s="165">
        <f>IF(AD28="c",mlmx(Tech!DC28,Tech!DB28)-mlmx(Tech!CR28,Tech!CQ28),"")</f>
      </c>
      <c r="S67" s="165">
        <f>IF(AND(AD28="c",S14&lt;&gt;""),mlmx(Tech!DD28,Tech!DB28)-mlmx(Tech!CS28,Tech!CQ28),"")</f>
      </c>
      <c r="T67" s="165">
        <f>IF(AND(AD28="c",T14&lt;&gt;""),mlmx(Tech!DE28,Tech!DB28)-mlmx(Tech!CT28,Tech!CQ28),"")</f>
      </c>
      <c r="U67" s="165">
        <f>IF(AND(AD28="c",U14&lt;&gt;""),mlmx(Tech!DF28,Tech!DB28)-mlmx(Tech!CU28,Tech!CQ28),"")</f>
      </c>
      <c r="V67" s="165">
        <f>IF(AND(AD28="c",V14&lt;&gt;""),mlmx(Tech!DG28,Tech!DB28)-mlmx(Tech!CV28,Tech!CQ28),"")</f>
      </c>
      <c r="W67" s="165">
        <f>IF(AND(AD28="c",W14&lt;&gt;""),mlmx(Tech!DH28,Tech!DB28)-mlmx(Tech!CW28,Tech!CQ28),"")</f>
      </c>
      <c r="X67" s="165">
        <f>IF(AND(AD28="c",X14&lt;&gt;""),mlmx(Tech!DI28,Tech!DB28)-mlmx(Tech!CX28,Tech!CQ28),"")</f>
      </c>
      <c r="Y67" s="165">
        <f>IF(AND(AD28="c",Y14&lt;&gt;""),mlmx(Tech!DJ28,Tech!DB28)-mlmx(Tech!CY28,Tech!CQ28),"")</f>
      </c>
      <c r="Z67" s="165">
        <f>IF(AND(AD28="c",Z14&lt;&gt;""),mlmx(Tech!DK28,Tech!DB28)-mlmx(Tech!CZ28,Tech!CQ28),"")</f>
      </c>
      <c r="AD67" s="22"/>
      <c r="AE67" s="57"/>
    </row>
    <row r="68" spans="14:31" ht="12.75">
      <c r="N68" s="166">
        <f>IF(AB29="","",AB29)</f>
      </c>
      <c r="O68" s="164" t="s">
        <v>31</v>
      </c>
      <c r="P68" s="165">
        <f>IF(AD29="b",mabs(Q68,R68,S68,T68,U68,V68,W68,X68,Y68,Z68)/COUNT(Q68:Z68),"")</f>
      </c>
      <c r="Q68" s="165">
        <f>IF(AD29="b",mlm1(Tech!AN29)-mlm1(Tech!AC29),"")</f>
      </c>
      <c r="R68" s="165">
        <f>IF(AD29="b",mlmx(Tech!AO29,Tech!AN29)-mlmx(Tech!AD29,Tech!AC29),"")</f>
      </c>
      <c r="S68" s="165">
        <f>IF(AND(AD29="b",S14&lt;&gt;""),mlmx(Tech!AP29,Tech!AN29)-mlmx(Tech!AE29,Tech!AC29),"")</f>
      </c>
      <c r="T68" s="165">
        <f>IF(AND(AD29="b",T14&lt;&gt;""),mlmx(Tech!AQ29,Tech!AN29)-mlmx(Tech!AF29,Tech!AC29),"")</f>
      </c>
      <c r="U68" s="165">
        <f>IF(AND(AD29="b",U14&lt;&gt;""),mlmx(Tech!AR29,Tech!AN29)-mlmx(Tech!AG29,Tech!AC29),"")</f>
      </c>
      <c r="V68" s="165">
        <f>IF(AND(AD29="b",V14&lt;&gt;""),mlmx(Tech!AS29,Tech!AN29)-mlmx(Tech!AH29,Tech!AC29),"")</f>
      </c>
      <c r="W68" s="165">
        <f>IF(AND(AD29="b",W14&lt;&gt;""),mlmx(Tech!AT29,Tech!AN29)-mlmx(Tech!AI29,Tech!AC29),"")</f>
      </c>
      <c r="X68" s="165">
        <f>IF(AND(AD29="b",X14&lt;&gt;""),mlmx(Tech!AU29,Tech!AN29)-mlmx(Tech!AJ29,Tech!AC29),"")</f>
      </c>
      <c r="Y68" s="165">
        <f>IF(AND(AD29="b",Y14&lt;&gt;""),mlmx(Tech!AV29,Tech!AN29)-mlmx(Tech!AK29,Tech!AC29),"")</f>
      </c>
      <c r="Z68" s="165">
        <f>IF(AND(AD29="b",Z14&lt;&gt;""),mlmx(Tech!AW29,Tech!AN29)-mlmx(Tech!AL29,Tech!AC29),"")</f>
      </c>
      <c r="AD68" s="22"/>
      <c r="AE68" s="57"/>
    </row>
    <row r="69" spans="14:31" ht="12.75">
      <c r="N69" s="166"/>
      <c r="O69" s="167" t="s">
        <v>103</v>
      </c>
      <c r="P69" s="165">
        <f>IF(AD29="c",mabs(Q69,R69,S69,T69,U69,V69,W69,X69,Y69,Z69)/COUNT(Q69:Z69),"")</f>
      </c>
      <c r="Q69" s="165">
        <f>IF(AD29="c",mlm1(Tech!BJ29)-mlm1(Tech!AY29),"")</f>
      </c>
      <c r="R69" s="165">
        <f>IF(AD29="c",mlmx(Tech!BK29,Tech!BJ29)-mlmx(Tech!AZ29,Tech!AY29),"")</f>
      </c>
      <c r="S69" s="165">
        <f>IF(AND(AD29="c",S14&lt;&gt;""),mlmx(Tech!BL29,Tech!BJ29)-mlmx(Tech!BA29,Tech!AY29),"")</f>
      </c>
      <c r="T69" s="165">
        <f>IF(AND(AD29="c",T14&lt;&gt;""),mlmx(Tech!BM29,Tech!BJ29)-mlmx(Tech!BB29,Tech!AY29),"")</f>
      </c>
      <c r="U69" s="165">
        <f>IF(AND(AD29="c",U14&lt;&gt;""),mlmx(Tech!BN29,Tech!BJ29)-mlmx(Tech!BC29,Tech!AY29),"")</f>
      </c>
      <c r="V69" s="165">
        <f>IF(AND(AD29="c",V14&lt;&gt;""),mlmx(Tech!BO29,Tech!BJ29)-mlmx(Tech!BD29,Tech!AY29),"")</f>
      </c>
      <c r="W69" s="165">
        <f>IF(AND(AD29="c",W14&lt;&gt;""),mlmx(Tech!BP29,Tech!BJ29)-mlmx(Tech!BE29,Tech!AY29),"")</f>
      </c>
      <c r="X69" s="165">
        <f>IF(AND(AD29="c",X14&lt;&gt;""),mlmx(Tech!BQ29,Tech!BJ29)-mlmx(Tech!BF29,Tech!AY29),"")</f>
      </c>
      <c r="Y69" s="165">
        <f>IF(AND(AD29="c",Y14&lt;&gt;""),mlmx(Tech!BR29,Tech!BJ29)-mlmx(Tech!BG29,Tech!AY29),"")</f>
      </c>
      <c r="Z69" s="165">
        <f>IF(AND(AD29="c",Z14&lt;&gt;""),mlmx(Tech!BS29,Tech!BJ29)-mlmx(Tech!BH29,Tech!AY29),"")</f>
      </c>
      <c r="AD69" s="22"/>
      <c r="AE69" s="57"/>
    </row>
    <row r="70" spans="14:31" ht="12.75">
      <c r="N70" s="166"/>
      <c r="O70" s="167" t="s">
        <v>104</v>
      </c>
      <c r="P70" s="165">
        <f>IF(AD29="c",mabs(Q70,R70,S70,T70,U70,V70,W70,X70,Y70,Z70)/COUNT(Q70:Z70),"")</f>
      </c>
      <c r="Q70" s="165">
        <f>IF(AD29="c",mlm1(Tech!CF29)-mlm1(Tech!BU29),"")</f>
      </c>
      <c r="R70" s="165">
        <f>IF(AD29="c",mlmx(Tech!CG29,Tech!CF29)-mlmx(Tech!BV29,Tech!BU29),"")</f>
      </c>
      <c r="S70" s="165">
        <f>IF(AND(AD29="c",S14&lt;&gt;""),mlmx(Tech!CH29,Tech!CF29)-mlmx(Tech!BW29,Tech!BU29),"")</f>
      </c>
      <c r="T70" s="165">
        <f>IF(AND(AD29="c",T14&lt;&gt;""),mlmx(Tech!CI29,Tech!CF29)-mlmx(Tech!BX29,Tech!BU29),"")</f>
      </c>
      <c r="U70" s="165">
        <f>IF(AND(AD29="c",U14&lt;&gt;""),mlmx(Tech!CJ29,Tech!CF29)-mlmx(Tech!BY29,Tech!BU29),"")</f>
      </c>
      <c r="V70" s="165">
        <f>IF(AND(AD29="c",V14&lt;&gt;""),mlmx(Tech!CK29,Tech!CF29)-mlmx(Tech!BZ29,Tech!BU29),"")</f>
      </c>
      <c r="W70" s="165">
        <f>IF(AND(AD29="c",W14&lt;&gt;""),mlmx(Tech!CL29,Tech!CF29)-mlmx(Tech!CA29,Tech!BU29),"")</f>
      </c>
      <c r="X70" s="165">
        <f>IF(AND(AD29="c",X14&lt;&gt;""),mlmx(Tech!CM29,Tech!CF29)-mlmx(Tech!CB29,Tech!BU29),"")</f>
      </c>
      <c r="Y70" s="165">
        <f>IF(AND(AD29="c",Y14&lt;&gt;""),mlmx(Tech!CN29,Tech!CF29)-mlmx(Tech!CC29,Tech!BU29),"")</f>
      </c>
      <c r="Z70" s="165">
        <f>IF(AND(AD29="c",Z14&lt;&gt;""),mlmx(Tech!CO29,Tech!CF29)-mlmx(Tech!CD29,Tech!BU29),"")</f>
      </c>
      <c r="AD70" s="22"/>
      <c r="AE70" s="57"/>
    </row>
    <row r="71" spans="14:31" ht="12.75">
      <c r="N71" s="166"/>
      <c r="O71" s="167" t="s">
        <v>32</v>
      </c>
      <c r="P71" s="165">
        <f>IF(AD29="c",mabs(Q71,R71,S71,T71,U71,V71,W71,X71,Y71,Z71)/COUNT(Q71:Z71),"")</f>
      </c>
      <c r="Q71" s="165">
        <f>IF(AD29="c",mlm1(Tech!DB29)-mlm1(Tech!CQ29),"")</f>
      </c>
      <c r="R71" s="165">
        <f>IF(AD29="c",mlmx(Tech!DC29,Tech!DB29)-mlmx(Tech!CR29,Tech!CQ29),"")</f>
      </c>
      <c r="S71" s="165">
        <f>IF(AND(AD29="c",S14&lt;&gt;""),mlmx(Tech!DD29,Tech!DB29)-mlmx(Tech!CS29,Tech!CQ29),"")</f>
      </c>
      <c r="T71" s="165">
        <f>IF(AND(AD29="c",T14&lt;&gt;""),mlmx(Tech!DE29,Tech!DB29)-mlmx(Tech!CT29,Tech!CQ29),"")</f>
      </c>
      <c r="U71" s="165">
        <f>IF(AND(AD29="c",U14&lt;&gt;""),mlmx(Tech!DF29,Tech!DB29)-mlmx(Tech!CU29,Tech!CQ29),"")</f>
      </c>
      <c r="V71" s="165">
        <f>IF(AND(AD29="c",V14&lt;&gt;""),mlmx(Tech!DG29,Tech!DB29)-mlmx(Tech!CV29,Tech!CQ29),"")</f>
      </c>
      <c r="W71" s="165">
        <f>IF(AND(AD29="c",W14&lt;&gt;""),mlmx(Tech!DH29,Tech!DB29)-mlmx(Tech!CW29,Tech!CQ29),"")</f>
      </c>
      <c r="X71" s="165">
        <f>IF(AND(AD29="c",X14&lt;&gt;""),mlmx(Tech!DI29,Tech!DB29)-mlmx(Tech!CX29,Tech!CQ29),"")</f>
      </c>
      <c r="Y71" s="165">
        <f>IF(AND(AD29="c",Y14&lt;&gt;""),mlmx(Tech!DJ29,Tech!DB29)-mlmx(Tech!CY29,Tech!CQ29),"")</f>
      </c>
      <c r="Z71" s="165">
        <f>IF(AND(AD29="c",Z14&lt;&gt;""),mlmx(Tech!DK29,Tech!DB29)-mlmx(Tech!CZ29,Tech!CQ29),"")</f>
      </c>
      <c r="AD71" s="22"/>
      <c r="AE71" s="57"/>
    </row>
    <row r="72" spans="14:31" ht="12.75">
      <c r="N72" s="166">
        <f>IF(AB30="","",AB30)</f>
      </c>
      <c r="O72" s="164" t="s">
        <v>31</v>
      </c>
      <c r="P72" s="165">
        <f>IF(AD30="b",mabs(Q72,R72,S72,T72,U72,V72,W72,X72,Y72,Z72)/COUNT(Q72:Z72),"")</f>
      </c>
      <c r="Q72" s="165">
        <f>IF(AD30="b",mlm1(Tech!AN30)-mlm1(Tech!AC30),"")</f>
      </c>
      <c r="R72" s="165">
        <f>IF(AD30="b",mlmx(Tech!AO30,Tech!AN30)-mlmx(Tech!AD30,Tech!AC30),"")</f>
      </c>
      <c r="S72" s="165">
        <f>IF(AND(AD30="b",S14&lt;&gt;""),mlmx(Tech!AP30,Tech!AN30)-mlmx(Tech!AE30,Tech!AC30),"")</f>
      </c>
      <c r="T72" s="165">
        <f>IF(AND(AD30="b",T14&lt;&gt;""),mlmx(Tech!AQ30,Tech!AN30)-mlmx(Tech!AF30,Tech!AC30),"")</f>
      </c>
      <c r="U72" s="165">
        <f>IF(AND(AD30="b",U14&lt;&gt;""),mlmx(Tech!AR30,Tech!AN30)-mlmx(Tech!AG30,Tech!AC30),"")</f>
      </c>
      <c r="V72" s="165">
        <f>IF(AND(AD30="b",V14&lt;&gt;""),mlmx(Tech!AS30,Tech!AN30)-mlmx(Tech!AH30,Tech!AC30),"")</f>
      </c>
      <c r="W72" s="165">
        <f>IF(AND(AD30="b",W14&lt;&gt;""),mlmx(Tech!AT30,Tech!AN30)-mlmx(Tech!AI30,Tech!AC30),"")</f>
      </c>
      <c r="X72" s="165">
        <f>IF(AND(AD30="b",X14&lt;&gt;""),mlmx(Tech!AU30,Tech!AN30)-mlmx(Tech!AJ30,Tech!AC30),"")</f>
      </c>
      <c r="Y72" s="165">
        <f>IF(AND(AD30="b",Y14&lt;&gt;""),mlmx(Tech!AV30,Tech!AN30)-mlmx(Tech!AK30,Tech!AC30),"")</f>
      </c>
      <c r="Z72" s="165">
        <f>IF(AND(AD30="b",Z14&lt;&gt;""),mlmx(Tech!AW30,Tech!AN30)-mlmx(Tech!AL30,Tech!AC30),"")</f>
      </c>
      <c r="AD72" s="22"/>
      <c r="AE72" s="57"/>
    </row>
    <row r="73" spans="14:31" ht="12.75">
      <c r="N73" s="166"/>
      <c r="O73" s="167" t="s">
        <v>103</v>
      </c>
      <c r="P73" s="165">
        <f>IF(AD30="c",mabs(Q73,R73,S73,T73,U73,V73,W73,X73,Y73,Z73)/COUNT(Q73:Z73),"")</f>
      </c>
      <c r="Q73" s="165">
        <f>IF(AD30="c",mlm1(Tech!BJ30)-mlm1(Tech!AY30),"")</f>
      </c>
      <c r="R73" s="165">
        <f>IF(AD30="c",mlmx(Tech!BK30,Tech!BJ30)-mlmx(Tech!AZ30,Tech!AY30),"")</f>
      </c>
      <c r="S73" s="165">
        <f>IF(AND(AD30="c",S14&lt;&gt;""),mlmx(Tech!BL30,Tech!BJ30)-mlmx(Tech!BA30,Tech!AY30),"")</f>
      </c>
      <c r="T73" s="165">
        <f>IF(AND(AD30="c",T14&lt;&gt;""),mlmx(Tech!BM30,Tech!BJ30)-mlmx(Tech!BB30,Tech!AY30),"")</f>
      </c>
      <c r="U73" s="165">
        <f>IF(AND(AD30="c",U14&lt;&gt;""),mlmx(Tech!BN30,Tech!BJ30)-mlmx(Tech!BC30,Tech!AY30),"")</f>
      </c>
      <c r="V73" s="165">
        <f>IF(AND(AD30="c",V14&lt;&gt;""),mlmx(Tech!BO30,Tech!BJ30)-mlmx(Tech!BD30,Tech!AY30),"")</f>
      </c>
      <c r="W73" s="165">
        <f>IF(AND(AD30="c",W14&lt;&gt;""),mlmx(Tech!BP30,Tech!BJ30)-mlmx(Tech!BE30,Tech!AY30),"")</f>
      </c>
      <c r="X73" s="165">
        <f>IF(AND(AD30="c",X14&lt;&gt;""),mlmx(Tech!BQ30,Tech!BJ30)-mlmx(Tech!BF30,Tech!AY30),"")</f>
      </c>
      <c r="Y73" s="165">
        <f>IF(AND(AD30="c",Y14&lt;&gt;""),mlmx(Tech!BR30,Tech!BJ30)-mlmx(Tech!BG30,Tech!AY30),"")</f>
      </c>
      <c r="Z73" s="165">
        <f>IF(AND(AD30="c",Z14&lt;&gt;""),mlmx(Tech!BS30,Tech!BJ30)-mlmx(Tech!BH30,Tech!AY30),"")</f>
      </c>
      <c r="AD73" s="22"/>
      <c r="AE73" s="57"/>
    </row>
    <row r="74" spans="14:31" ht="12.75">
      <c r="N74" s="166"/>
      <c r="O74" s="167" t="s">
        <v>104</v>
      </c>
      <c r="P74" s="165">
        <f>IF(AD30="c",mabs(Q74,R74,S74,T74,U74,V74,W74,X74,Y74,Z74)/COUNT(Q74:Z74),"")</f>
      </c>
      <c r="Q74" s="165">
        <f>IF(AD30="c",mlm1(Tech!CF30)-mlm1(Tech!BU30),"")</f>
      </c>
      <c r="R74" s="165">
        <f>IF(AD30="c",mlmx(Tech!CG30,Tech!CF30)-mlmx(Tech!BV30,Tech!BU30),"")</f>
      </c>
      <c r="S74" s="165">
        <f>IF(AND(AD30="c",S14&lt;&gt;""),mlmx(Tech!CH30,Tech!CF30)-mlmx(Tech!BW30,Tech!BU30),"")</f>
      </c>
      <c r="T74" s="165">
        <f>IF(AND(AD30="c",T14&lt;&gt;""),mlmx(Tech!CI30,Tech!CF30)-mlmx(Tech!BX30,Tech!BU30),"")</f>
      </c>
      <c r="U74" s="165">
        <f>IF(AND(AD30="c",U14&lt;&gt;""),mlmx(Tech!CJ30,Tech!CF30)-mlmx(Tech!BY30,Tech!BU30),"")</f>
      </c>
      <c r="V74" s="165">
        <f>IF(AND(AD30="c",V14&lt;&gt;""),mlmx(Tech!CK30,Tech!CF30)-mlmx(Tech!BZ30,Tech!BU30),"")</f>
      </c>
      <c r="W74" s="165">
        <f>IF(AND(AD30="c",W14&lt;&gt;""),mlmx(Tech!CL30,Tech!CF30)-mlmx(Tech!CA30,Tech!BU30),"")</f>
      </c>
      <c r="X74" s="165">
        <f>IF(AND(AD30="c",X14&lt;&gt;""),mlmx(Tech!CM30,Tech!CF30)-mlmx(Tech!CB30,Tech!BU30),"")</f>
      </c>
      <c r="Y74" s="165">
        <f>IF(AND(AD30="c",Y14&lt;&gt;""),mlmx(Tech!CN30,Tech!CF30)-mlmx(Tech!CC30,Tech!BU30),"")</f>
      </c>
      <c r="Z74" s="165">
        <f>IF(AND(AD30="c",Z14&lt;&gt;""),mlmx(Tech!CO30,Tech!CF30)-mlmx(Tech!CD30,Tech!BU30),"")</f>
      </c>
      <c r="AD74" s="22"/>
      <c r="AE74" s="57"/>
    </row>
    <row r="75" spans="14:31" ht="12.75">
      <c r="N75" s="166"/>
      <c r="O75" s="167" t="s">
        <v>32</v>
      </c>
      <c r="P75" s="165">
        <f>IF(AD30="c",mabs(Q75,R75,S75,T75,U75,V75,W75,X75,Y75,Z75)/COUNT(Q75:Z75),"")</f>
      </c>
      <c r="Q75" s="165">
        <f>IF(AD30="c",mlm1(Tech!DB30)-mlm1(Tech!CQ30),"")</f>
      </c>
      <c r="R75" s="165">
        <f>IF(AD30="c",mlmx(Tech!DC30,Tech!DB30)-mlmx(Tech!CR30,Tech!CQ30),"")</f>
      </c>
      <c r="S75" s="165">
        <f>IF(AND(AD30="c",S14&lt;&gt;""),mlmx(Tech!DD30,Tech!DB30)-mlmx(Tech!CS30,Tech!CQ30),"")</f>
      </c>
      <c r="T75" s="165">
        <f>IF(AND(AD30="c",T14&lt;&gt;""),mlmx(Tech!DE30,Tech!DB30)-mlmx(Tech!CT30,Tech!CQ30),"")</f>
      </c>
      <c r="U75" s="165">
        <f>IF(AND(AD30="c",U14&lt;&gt;""),mlmx(Tech!DF30,Tech!DB30)-mlmx(Tech!CU30,Tech!CQ30),"")</f>
      </c>
      <c r="V75" s="165">
        <f>IF(AND(AD30="c",V14&lt;&gt;""),mlmx(Tech!DG30,Tech!DB30)-mlmx(Tech!CV30,Tech!CQ30),"")</f>
      </c>
      <c r="W75" s="165">
        <f>IF(AND(AD30="c",W14&lt;&gt;""),mlmx(Tech!DH30,Tech!DB30)-mlmx(Tech!CW30,Tech!CQ30),"")</f>
      </c>
      <c r="X75" s="165">
        <f>IF(AND(AD30="c",X14&lt;&gt;""),mlmx(Tech!DI30,Tech!DB30)-mlmx(Tech!CX30,Tech!CQ30),"")</f>
      </c>
      <c r="Y75" s="165">
        <f>IF(AND(AD30="c",Y14&lt;&gt;""),mlmx(Tech!DJ30,Tech!DB30)-mlmx(Tech!CY30,Tech!CQ30),"")</f>
      </c>
      <c r="Z75" s="165">
        <f>IF(AND(AD30="c",Z14&lt;&gt;""),mlmx(Tech!DK30,Tech!DB30)-mlmx(Tech!CZ30,Tech!CQ30),"")</f>
      </c>
      <c r="AD75" s="22"/>
      <c r="AE75" s="57"/>
    </row>
    <row r="76" spans="14:31" ht="12.75">
      <c r="N76" s="166">
        <f>IF(AB31="","",AB31)</f>
      </c>
      <c r="O76" s="164" t="s">
        <v>31</v>
      </c>
      <c r="P76" s="165">
        <f>IF(AD31="b",mabs(Q76,R76,S76,T76,U76,V76,W76,X76,Y76,Z76)/COUNT(Q76:Z76),"")</f>
      </c>
      <c r="Q76" s="165">
        <f>IF(AD31="b",mlm1(Tech!AN31)-mlm1(Tech!AC31),"")</f>
      </c>
      <c r="R76" s="165">
        <f>IF(AD31="b",mlmx(Tech!AO31,Tech!AN31)-mlmx(Tech!AD31,Tech!AC31),"")</f>
      </c>
      <c r="S76" s="165">
        <f>IF(AND(AD31="b",S14&lt;&gt;""),mlmx(Tech!AP31,Tech!AN31)-mlmx(Tech!AE31,Tech!AC31),"")</f>
      </c>
      <c r="T76" s="165">
        <f>IF(AND(AD31="b",T14&lt;&gt;""),mlmx(Tech!AQ31,Tech!AN31)-mlmx(Tech!AF31,Tech!AC31),"")</f>
      </c>
      <c r="U76" s="165">
        <f>IF(AND(AD31="b",U14&lt;&gt;""),mlmx(Tech!AR31,Tech!AN31)-mlmx(Tech!AG31,Tech!AC31),"")</f>
      </c>
      <c r="V76" s="165">
        <f>IF(AND(AD31="b",V14&lt;&gt;""),mlmx(Tech!AS31,Tech!AN31)-mlmx(Tech!AH31,Tech!AC31),"")</f>
      </c>
      <c r="W76" s="165">
        <f>IF(AND(AD31="b",W14&lt;&gt;""),mlmx(Tech!AT31,Tech!AN31)-mlmx(Tech!AI31,Tech!AC31),"")</f>
      </c>
      <c r="X76" s="165">
        <f>IF(AND(AD31="b",X14&lt;&gt;""),mlmx(Tech!AU31,Tech!AN31)-mlmx(Tech!AJ31,Tech!AC31),"")</f>
      </c>
      <c r="Y76" s="165">
        <f>IF(AND(AD31="b",Y14&lt;&gt;""),mlmx(Tech!AV31,Tech!AN31)-mlmx(Tech!AK31,Tech!AC31),"")</f>
      </c>
      <c r="Z76" s="165">
        <f>IF(AND(AD31="b",Z14&lt;&gt;""),mlmx(Tech!AW31,Tech!AN31)-mlmx(Tech!AL31,Tech!AC31),"")</f>
      </c>
      <c r="AD76" s="22"/>
      <c r="AE76" s="57"/>
    </row>
    <row r="77" spans="14:31" ht="12.75">
      <c r="N77" s="166"/>
      <c r="O77" s="167" t="s">
        <v>103</v>
      </c>
      <c r="P77" s="165">
        <f>IF(AD31="c",mabs(Q77,R77,S77,T77,U77,V77,W77,X77,Y77,Z77)/COUNT(Q77:Z77),"")</f>
      </c>
      <c r="Q77" s="165">
        <f>IF(AD31="c",mlm1(Tech!BJ31)-mlm1(Tech!AY31),"")</f>
      </c>
      <c r="R77" s="165">
        <f>IF(AD31="c",mlmx(Tech!BK31,Tech!BJ31)-mlmx(Tech!AZ31,Tech!AY31),"")</f>
      </c>
      <c r="S77" s="165">
        <f>IF(AND(AD31="c",S14&lt;&gt;""),mlmx(Tech!BL31,Tech!BJ31)-mlmx(Tech!BA31,Tech!AY31),"")</f>
      </c>
      <c r="T77" s="165">
        <f>IF(AND(AD31="c",T14&lt;&gt;""),mlmx(Tech!BM31,Tech!BJ31)-mlmx(Tech!BB31,Tech!AY31),"")</f>
      </c>
      <c r="U77" s="165">
        <f>IF(AND(AD31="c",U14&lt;&gt;""),mlmx(Tech!BN31,Tech!BJ31)-mlmx(Tech!BC31,Tech!AY31),"")</f>
      </c>
      <c r="V77" s="165">
        <f>IF(AND(AD31="c",V14&lt;&gt;""),mlmx(Tech!BO31,Tech!BJ31)-mlmx(Tech!BD31,Tech!AY31),"")</f>
      </c>
      <c r="W77" s="165">
        <f>IF(AND(AD31="c",W14&lt;&gt;""),mlmx(Tech!BP31,Tech!BJ31)-mlmx(Tech!BE31,Tech!AY31),"")</f>
      </c>
      <c r="X77" s="165">
        <f>IF(AND(AD31="c",X14&lt;&gt;""),mlmx(Tech!BQ31,Tech!BJ31)-mlmx(Tech!BF31,Tech!AY31),"")</f>
      </c>
      <c r="Y77" s="165">
        <f>IF(AND(AD31="c",Y14&lt;&gt;""),mlmx(Tech!BR31,Tech!BJ31)-mlmx(Tech!BG31,Tech!AY31),"")</f>
      </c>
      <c r="Z77" s="165">
        <f>IF(AND(AD31="c",Z14&lt;&gt;""),mlmx(Tech!BS31,Tech!BJ31)-mlmx(Tech!BH31,Tech!AY31),"")</f>
      </c>
      <c r="AD77" s="22"/>
      <c r="AE77" s="57"/>
    </row>
    <row r="78" spans="14:31" ht="12.75">
      <c r="N78" s="166"/>
      <c r="O78" s="167" t="s">
        <v>104</v>
      </c>
      <c r="P78" s="165">
        <f>IF(AD31="c",mabs(Q78,R78,S78,T78,U78,V78,W78,X78,Y78,Z78)/COUNT(Q78:Z78),"")</f>
      </c>
      <c r="Q78" s="165">
        <f>IF(AD31="c",mlm1(Tech!CF31)-mlm1(Tech!BU31),"")</f>
      </c>
      <c r="R78" s="165">
        <f>IF(AD31="c",mlmx(Tech!CG31,Tech!CF31)-mlmx(Tech!BV31,Tech!BU31),"")</f>
      </c>
      <c r="S78" s="165">
        <f>IF(AND(AD31="c",S14&lt;&gt;""),mlmx(Tech!CH31,Tech!CF31)-mlmx(Tech!BW31,Tech!BU31),"")</f>
      </c>
      <c r="T78" s="165">
        <f>IF(AND(AD31="c",T14&lt;&gt;""),mlmx(Tech!CI31,Tech!CF31)-mlmx(Tech!BX31,Tech!BU31),"")</f>
      </c>
      <c r="U78" s="165">
        <f>IF(AND(AD31="c",U14&lt;&gt;""),mlmx(Tech!CJ31,Tech!CF31)-mlmx(Tech!BY31,Tech!BU31),"")</f>
      </c>
      <c r="V78" s="165">
        <f>IF(AND(AD31="c",V14&lt;&gt;""),mlmx(Tech!CK31,Tech!CF31)-mlmx(Tech!BZ31,Tech!BU31),"")</f>
      </c>
      <c r="W78" s="165">
        <f>IF(AND(AD31="c",W14&lt;&gt;""),mlmx(Tech!CL31,Tech!CF31)-mlmx(Tech!CA31,Tech!BU31),"")</f>
      </c>
      <c r="X78" s="165">
        <f>IF(AND(AD31="c",X14&lt;&gt;""),mlmx(Tech!CM31,Tech!CF31)-mlmx(Tech!CB31,Tech!BU31),"")</f>
      </c>
      <c r="Y78" s="165">
        <f>IF(AND(AD31="c",Y14&lt;&gt;""),mlmx(Tech!CN31,Tech!CF31)-mlmx(Tech!CC31,Tech!BU31),"")</f>
      </c>
      <c r="Z78" s="165">
        <f>IF(AND(AD31="c",Z14&lt;&gt;""),mlmx(Tech!CO31,Tech!CF31)-mlmx(Tech!CD31,Tech!BU31),"")</f>
      </c>
      <c r="AD78" s="22"/>
      <c r="AE78" s="57"/>
    </row>
    <row r="79" spans="14:31" ht="12.75">
      <c r="N79" s="166"/>
      <c r="O79" s="167" t="s">
        <v>32</v>
      </c>
      <c r="P79" s="165">
        <f>IF(AD31="c",mabs(Q79,R79,S79,T79,U79,V79,W79,X79,Y79,Z79)/COUNT(Q79:Z79),"")</f>
      </c>
      <c r="Q79" s="165">
        <f>IF(AD31="c",mlm1(Tech!DB31)-mlm1(Tech!CQ31),"")</f>
      </c>
      <c r="R79" s="165">
        <f>IF(AD31="c",mlmx(Tech!DC31,Tech!DB31)-mlmx(Tech!CR31,Tech!CQ31),"")</f>
      </c>
      <c r="S79" s="165">
        <f>IF(AND(AD31="c",S14&lt;&gt;""),mlmx(Tech!DD31,Tech!DB31)-mlmx(Tech!CS31,Tech!CQ31),"")</f>
      </c>
      <c r="T79" s="165">
        <f>IF(AND(AD31="c",T14&lt;&gt;""),mlmx(Tech!DE31,Tech!DB31)-mlmx(Tech!CT31,Tech!CQ31),"")</f>
      </c>
      <c r="U79" s="165">
        <f>IF(AND(AD31="c",U14&lt;&gt;""),mlmx(Tech!DF31,Tech!DB31)-mlmx(Tech!CU31,Tech!CQ31),"")</f>
      </c>
      <c r="V79" s="165">
        <f>IF(AND(AD31="c",V14&lt;&gt;""),mlmx(Tech!DG31,Tech!DB31)-mlmx(Tech!CV31,Tech!CQ31),"")</f>
      </c>
      <c r="W79" s="165">
        <f>IF(AND(AD31="c",W14&lt;&gt;""),mlmx(Tech!DH31,Tech!DB31)-mlmx(Tech!CW31,Tech!CQ31),"")</f>
      </c>
      <c r="X79" s="165">
        <f>IF(AND(AD31="c",X14&lt;&gt;""),mlmx(Tech!DI31,Tech!DB31)-mlmx(Tech!CX31,Tech!CQ31),"")</f>
      </c>
      <c r="Y79" s="165">
        <f>IF(AND(AD31="c",Y14&lt;&gt;""),mlmx(Tech!DJ31,Tech!DB31)-mlmx(Tech!CY31,Tech!CQ31),"")</f>
      </c>
      <c r="Z79" s="165">
        <f>IF(AND(AD31="c",Z14&lt;&gt;""),mlmx(Tech!DK31,Tech!DB31)-mlmx(Tech!CZ31,Tech!CQ31),"")</f>
      </c>
      <c r="AD79" s="22"/>
      <c r="AE79" s="57"/>
    </row>
    <row r="80" spans="14:31" ht="12.75">
      <c r="N80" s="166">
        <f>IF(AB32="","",AB32)</f>
      </c>
      <c r="O80" s="164" t="s">
        <v>31</v>
      </c>
      <c r="P80" s="165">
        <f>IF(AD32="b",mabs(Q80,R80,S80,T80,U80,V80,W80,X80,Y80,Z80)/COUNT(Q80:Z80),"")</f>
      </c>
      <c r="Q80" s="165">
        <f>IF(AD32="b",mlm1(Tech!AN32)-mlm1(Tech!AC32),"")</f>
      </c>
      <c r="R80" s="165">
        <f>IF(AD32="b",mlmx(Tech!AO32,Tech!AN32)-mlmx(Tech!AD32,Tech!AC32),"")</f>
      </c>
      <c r="S80" s="165">
        <f>IF(AND(AD32="b",S14&lt;&gt;""),mlmx(Tech!AP32,Tech!AN32)-mlmx(Tech!AE32,Tech!AC32),"")</f>
      </c>
      <c r="T80" s="165">
        <f>IF(AND(AD32="b",T14&lt;&gt;""),mlmx(Tech!AQ32,Tech!AN32)-mlmx(Tech!AF32,Tech!AC32),"")</f>
      </c>
      <c r="U80" s="165">
        <f>IF(AND(AD32="b",U14&lt;&gt;""),mlmx(Tech!AR32,Tech!AN32)-mlmx(Tech!AG32,Tech!AC32),"")</f>
      </c>
      <c r="V80" s="165">
        <f>IF(AND(AD32="b",V14&lt;&gt;""),mlmx(Tech!AS32,Tech!AN32)-mlmx(Tech!AH32,Tech!AC32),"")</f>
      </c>
      <c r="W80" s="165">
        <f>IF(AND(AD32="b",W14&lt;&gt;""),mlmx(Tech!AT32,Tech!AN32)-mlmx(Tech!AI32,Tech!AC32),"")</f>
      </c>
      <c r="X80" s="165">
        <f>IF(AND(AD32="b",X14&lt;&gt;""),mlmx(Tech!AU32,Tech!AN32)-mlmx(Tech!AJ32,Tech!AC32),"")</f>
      </c>
      <c r="Y80" s="165">
        <f>IF(AND(AD32="b",Y14&lt;&gt;""),mlmx(Tech!AV32,Tech!AN32)-mlmx(Tech!AK32,Tech!AC32),"")</f>
      </c>
      <c r="Z80" s="165">
        <f>IF(AND(AD32="b",Z14&lt;&gt;""),mlmx(Tech!AW32,Tech!AN32)-mlmx(Tech!AL32,Tech!AC32),"")</f>
      </c>
      <c r="AD80" s="22"/>
      <c r="AE80" s="57"/>
    </row>
    <row r="81" spans="14:31" ht="12.75">
      <c r="N81" s="166"/>
      <c r="O81" s="167" t="s">
        <v>103</v>
      </c>
      <c r="P81" s="165">
        <f>IF(AD32="c",mabs(Q81,R81,S81,T81,U81,V81,W81,X81,Y81,Z81)/COUNT(Q81:Z81),"")</f>
      </c>
      <c r="Q81" s="165">
        <f>IF(AD32="c",mlm1(Tech!BJ32)-mlm1(Tech!AY32),"")</f>
      </c>
      <c r="R81" s="165">
        <f>IF(AD32="c",mlmx(Tech!BK32,Tech!BJ32)-mlmx(Tech!AZ32,Tech!AY32),"")</f>
      </c>
      <c r="S81" s="165">
        <f>IF(AND(AD32="c",S14&lt;&gt;""),mlmx(Tech!BL32,Tech!BJ32)-mlmx(Tech!BA32,Tech!AY32),"")</f>
      </c>
      <c r="T81" s="165">
        <f>IF(AND(AD32="c",T14&lt;&gt;""),mlmx(Tech!BM32,Tech!BJ32)-mlmx(Tech!BB32,Tech!AY32),"")</f>
      </c>
      <c r="U81" s="165">
        <f>IF(AND(AD32="c",U14&lt;&gt;""),mlmx(Tech!BN32,Tech!BJ32)-mlmx(Tech!BC32,Tech!AY32),"")</f>
      </c>
      <c r="V81" s="165">
        <f>IF(AND(AD32="c",V14&lt;&gt;""),mlmx(Tech!BO32,Tech!BJ32)-mlmx(Tech!BD32,Tech!AY32),"")</f>
      </c>
      <c r="W81" s="165">
        <f>IF(AND(AD32="c",W14&lt;&gt;""),mlmx(Tech!BP32,Tech!BJ32)-mlmx(Tech!BE32,Tech!AY32),"")</f>
      </c>
      <c r="X81" s="165">
        <f>IF(AND(AD32="c",X14&lt;&gt;""),mlmx(Tech!BQ32,Tech!BJ32)-mlmx(Tech!BF32,Tech!AY32),"")</f>
      </c>
      <c r="Y81" s="165">
        <f>IF(AND(AD32="c",Y14&lt;&gt;""),mlmx(Tech!BR32,Tech!BJ32)-mlmx(Tech!BG32,Tech!AY32),"")</f>
      </c>
      <c r="Z81" s="165">
        <f>IF(AND(AD32="c",Z14&lt;&gt;""),mlmx(Tech!BS32,Tech!BJ32)-mlmx(Tech!BH32,Tech!AY32),"")</f>
      </c>
      <c r="AD81" s="22"/>
      <c r="AE81" s="57"/>
    </row>
    <row r="82" spans="14:31" ht="12.75">
      <c r="N82" s="166"/>
      <c r="O82" s="167" t="s">
        <v>104</v>
      </c>
      <c r="P82" s="165">
        <f>IF(AD32="c",mabs(Q82,R82,S82,T82,U82,V82,W82,X82,Y82,Z82)/COUNT(Q82:Z82),"")</f>
      </c>
      <c r="Q82" s="165">
        <f>IF(AD32="c",mlm1(Tech!CF32)-mlm1(Tech!BU32),"")</f>
      </c>
      <c r="R82" s="165">
        <f>IF(AD32="c",mlmx(Tech!CG32,Tech!CF32)-mlmx(Tech!BV32,Tech!BU32),"")</f>
      </c>
      <c r="S82" s="165">
        <f>IF(AND(AD32="c",S14&lt;&gt;""),mlmx(Tech!CH32,Tech!CF32)-mlmx(Tech!BW32,Tech!BU32),"")</f>
      </c>
      <c r="T82" s="165">
        <f>IF(AND(AD32="c",T14&lt;&gt;""),mlmx(Tech!CI32,Tech!CF32)-mlmx(Tech!BX32,Tech!BU32),"")</f>
      </c>
      <c r="U82" s="165">
        <f>IF(AND(AD32="c",U14&lt;&gt;""),mlmx(Tech!CJ32,Tech!CF32)-mlmx(Tech!BY32,Tech!BU32),"")</f>
      </c>
      <c r="V82" s="165">
        <f>IF(AND(AD32="c",V14&lt;&gt;""),mlmx(Tech!CK32,Tech!CF32)-mlmx(Tech!BZ32,Tech!BU32),"")</f>
      </c>
      <c r="W82" s="165">
        <f>IF(AND(AD32="c",W14&lt;&gt;""),mlmx(Tech!CL32,Tech!CF32)-mlmx(Tech!CA32,Tech!BU32),"")</f>
      </c>
      <c r="X82" s="165">
        <f>IF(AND(AD32="c",X14&lt;&gt;""),mlmx(Tech!CM32,Tech!CF32)-mlmx(Tech!CB32,Tech!BU32),"")</f>
      </c>
      <c r="Y82" s="165">
        <f>IF(AND(AD32="c",Y14&lt;&gt;""),mlmx(Tech!CN32,Tech!CF32)-mlmx(Tech!CC32,Tech!BU32),"")</f>
      </c>
      <c r="Z82" s="165">
        <f>IF(AND(AD32="c",Z14&lt;&gt;""),mlmx(Tech!CO32,Tech!CF32)-mlmx(Tech!CD32,Tech!BU32),"")</f>
      </c>
      <c r="AD82" s="22"/>
      <c r="AE82" s="57"/>
    </row>
    <row r="83" spans="14:31" ht="12.75">
      <c r="N83" s="166"/>
      <c r="O83" s="167" t="s">
        <v>32</v>
      </c>
      <c r="P83" s="165">
        <f>IF(AD32="c",mabs(Q83,R83,S83,T83,U83,V83,W83,X83,Y83,Z83)/COUNT(Q83:Z83),"")</f>
      </c>
      <c r="Q83" s="165">
        <f>IF(AD32="c",mlm1(Tech!DB32)-mlm1(Tech!CQ32),"")</f>
      </c>
      <c r="R83" s="165">
        <f>IF(AD32="c",mlmx(Tech!DC32,Tech!DB32)-mlmx(Tech!CR32,Tech!CQ32),"")</f>
      </c>
      <c r="S83" s="165">
        <f>IF(AND(AD32="c",S14&lt;&gt;""),mlmx(Tech!DD32,Tech!DB32)-mlmx(Tech!CS32,Tech!CQ32),"")</f>
      </c>
      <c r="T83" s="165">
        <f>IF(AND(AD32="c",T14&lt;&gt;""),mlmx(Tech!DE32,Tech!DB32)-mlmx(Tech!CT32,Tech!CQ32),"")</f>
      </c>
      <c r="U83" s="165">
        <f>IF(AND(AD32="c",U14&lt;&gt;""),mlmx(Tech!DF32,Tech!DB32)-mlmx(Tech!CU32,Tech!CQ32),"")</f>
      </c>
      <c r="V83" s="165">
        <f>IF(AND(AD32="c",V14&lt;&gt;""),mlmx(Tech!DG32,Tech!DB32)-mlmx(Tech!CV32,Tech!CQ32),"")</f>
      </c>
      <c r="W83" s="165">
        <f>IF(AND(AD32="c",W14&lt;&gt;""),mlmx(Tech!DH32,Tech!DB32)-mlmx(Tech!CW32,Tech!CQ32),"")</f>
      </c>
      <c r="X83" s="165">
        <f>IF(AND(AD32="c",X14&lt;&gt;""),mlmx(Tech!DI32,Tech!DB32)-mlmx(Tech!CX32,Tech!CQ32),"")</f>
      </c>
      <c r="Y83" s="165">
        <f>IF(AND(AD32="c",Y14&lt;&gt;""),mlmx(Tech!DJ32,Tech!DB32)-mlmx(Tech!CY32,Tech!CQ32),"")</f>
      </c>
      <c r="Z83" s="165">
        <f>IF(AND(AD32="c",Z14&lt;&gt;""),mlmx(Tech!DK32,Tech!DB32)-mlmx(Tech!CZ32,Tech!CQ32),"")</f>
      </c>
      <c r="AD83" s="22"/>
      <c r="AE83" s="57"/>
    </row>
    <row r="84" spans="14:31" ht="12.75">
      <c r="N84" s="166">
        <f>IF(AB33="","",AB33)</f>
      </c>
      <c r="O84" s="164" t="s">
        <v>31</v>
      </c>
      <c r="P84" s="165">
        <f>IF(AD33="b",mabs(Q84,R84,S84,T84,U84,V84,W84,X84,Y84,Z84)/COUNT(Q84:Z84),"")</f>
      </c>
      <c r="Q84" s="165">
        <f>IF(AD33="b",mlm1(Tech!AN33)-mlm1(Tech!AC33),"")</f>
      </c>
      <c r="R84" s="165">
        <f>IF(AD33="b",mlmx(Tech!AO33,Tech!AN33)-mlmx(Tech!AD33,Tech!AC33),"")</f>
      </c>
      <c r="S84" s="165">
        <f>IF(AND(AD33="b",S14&lt;&gt;""),mlmx(Tech!AP33,Tech!AN33)-mlmx(Tech!AE33,Tech!AC33),"")</f>
      </c>
      <c r="T84" s="165">
        <f>IF(AND(AD33="b",T14&lt;&gt;""),mlmx(Tech!AQ33,Tech!AN33)-mlmx(Tech!AF33,Tech!AC33),"")</f>
      </c>
      <c r="U84" s="165">
        <f>IF(AND(AD33="b",U14&lt;&gt;""),mlmx(Tech!AR33,Tech!AN33)-mlmx(Tech!AG33,Tech!AC33),"")</f>
      </c>
      <c r="V84" s="165">
        <f>IF(AND(AD33="b",V14&lt;&gt;""),mlmx(Tech!AS33,Tech!AN33)-mlmx(Tech!AH33,Tech!AC33),"")</f>
      </c>
      <c r="W84" s="165">
        <f>IF(AND(AD33="b",W14&lt;&gt;""),mlmx(Tech!AT33,Tech!AN33)-mlmx(Tech!AI33,Tech!AC33),"")</f>
      </c>
      <c r="X84" s="165">
        <f>IF(AND(AD33="b",X14&lt;&gt;""),mlmx(Tech!AU33,Tech!AN33)-mlmx(Tech!AJ33,Tech!AC33),"")</f>
      </c>
      <c r="Y84" s="165">
        <f>IF(AND(AD33="b",Y14&lt;&gt;""),mlmx(Tech!AV33,Tech!AN33)-mlmx(Tech!AK33,Tech!AC33),"")</f>
      </c>
      <c r="Z84" s="165">
        <f>IF(AND(AD33="b",Z14&lt;&gt;""),mlmx(Tech!AW33,Tech!AN33)-mlmx(Tech!AL33,Tech!AC33),"")</f>
      </c>
      <c r="AD84" s="22"/>
      <c r="AE84" s="57"/>
    </row>
    <row r="85" spans="14:31" ht="12.75">
      <c r="N85" s="166"/>
      <c r="O85" s="167" t="s">
        <v>103</v>
      </c>
      <c r="P85" s="165">
        <f>IF(AD33="c",mabs(Q85,R85,S85,T85,U85,V85,W85,X85,Y85,Z85)/COUNT(Q85:Z85),"")</f>
      </c>
      <c r="Q85" s="165">
        <f>IF(AD33="c",mlm1(Tech!BJ33)-mlm1(Tech!AY33),"")</f>
      </c>
      <c r="R85" s="165">
        <f>IF(AD33="c",mlmx(Tech!BK33,Tech!BJ33)-mlmx(Tech!AZ33,Tech!AY33),"")</f>
      </c>
      <c r="S85" s="165">
        <f>IF(AND(AD33="c",S14&lt;&gt;""),mlmx(Tech!BL33,Tech!BJ33)-mlmx(Tech!BA33,Tech!AY33),"")</f>
      </c>
      <c r="T85" s="165">
        <f>IF(AND(AD33="c",T14&lt;&gt;""),mlmx(Tech!BM33,Tech!BJ33)-mlmx(Tech!BB33,Tech!AY33),"")</f>
      </c>
      <c r="U85" s="165">
        <f>IF(AND(AD33="c",U14&lt;&gt;""),mlmx(Tech!BN33,Tech!BJ33)-mlmx(Tech!BC33,Tech!AY33),"")</f>
      </c>
      <c r="V85" s="165">
        <f>IF(AND(AD33="c",V14&lt;&gt;""),mlmx(Tech!BO33,Tech!BJ33)-mlmx(Tech!BD33,Tech!AY33),"")</f>
      </c>
      <c r="W85" s="165">
        <f>IF(AND(AD33="c",W14&lt;&gt;""),mlmx(Tech!BP33,Tech!BJ33)-mlmx(Tech!BE33,Tech!AY33),"")</f>
      </c>
      <c r="X85" s="165">
        <f>IF(AND(AD33="c",X14&lt;&gt;""),mlmx(Tech!BQ33,Tech!BJ33)-mlmx(Tech!BF33,Tech!AY33),"")</f>
      </c>
      <c r="Y85" s="165">
        <f>IF(AND(AD33="c",Y14&lt;&gt;""),mlmx(Tech!BR33,Tech!BJ33)-mlmx(Tech!BG33,Tech!AY33),"")</f>
      </c>
      <c r="Z85" s="165">
        <f>IF(AND(AD33="c",Z14&lt;&gt;""),mlmx(Tech!BS33,Tech!BJ33)-mlmx(Tech!BH33,Tech!AY33),"")</f>
      </c>
      <c r="AD85" s="22"/>
      <c r="AE85" s="57"/>
    </row>
    <row r="86" spans="14:31" ht="12.75">
      <c r="N86" s="166"/>
      <c r="O86" s="167" t="s">
        <v>104</v>
      </c>
      <c r="P86" s="165">
        <f>IF(AD33="c",mabs(Q86,R86,S86,T86,U86,V86,W86,X86,Y86,Z86)/COUNT(Q86:Z86),"")</f>
      </c>
      <c r="Q86" s="165">
        <f>IF(AD33="c",mlm1(Tech!CF33)-mlm1(Tech!BU33),"")</f>
      </c>
      <c r="R86" s="165">
        <f>IF(AD33="c",mlmx(Tech!CG33,Tech!CF33)-mlmx(Tech!BV33,Tech!BU33),"")</f>
      </c>
      <c r="S86" s="165">
        <f>IF(AND(AD33="c",S14&lt;&gt;""),mlmx(Tech!CH33,Tech!CF33)-mlmx(Tech!BW33,Tech!BU33),"")</f>
      </c>
      <c r="T86" s="165">
        <f>IF(AND(AD33="c",T14&lt;&gt;""),mlmx(Tech!CI33,Tech!CF33)-mlmx(Tech!BX33,Tech!BU33),"")</f>
      </c>
      <c r="U86" s="165">
        <f>IF(AND(AD33="c",U14&lt;&gt;""),mlmx(Tech!CJ33,Tech!CF33)-mlmx(Tech!BY33,Tech!BU33),"")</f>
      </c>
      <c r="V86" s="165">
        <f>IF(AND(AD33="c",V14&lt;&gt;""),mlmx(Tech!CK33,Tech!CF33)-mlmx(Tech!BZ33,Tech!BU33),"")</f>
      </c>
      <c r="W86" s="165">
        <f>IF(AND(AD33="c",W14&lt;&gt;""),mlmx(Tech!CL33,Tech!CF33)-mlmx(Tech!CA33,Tech!BU33),"")</f>
      </c>
      <c r="X86" s="165">
        <f>IF(AND(AD33="c",X14&lt;&gt;""),mlmx(Tech!CM33,Tech!CF33)-mlmx(Tech!CB33,Tech!BU33),"")</f>
      </c>
      <c r="Y86" s="165">
        <f>IF(AND(AD33="c",Y14&lt;&gt;""),mlmx(Tech!CN33,Tech!CF33)-mlmx(Tech!CC33,Tech!BU33),"")</f>
      </c>
      <c r="Z86" s="165">
        <f>IF(AND(AD33="c",Z14&lt;&gt;""),mlmx(Tech!CO33,Tech!CF33)-mlmx(Tech!CD33,Tech!BU33),"")</f>
      </c>
      <c r="AD86" s="22"/>
      <c r="AE86" s="57"/>
    </row>
    <row r="87" spans="14:31" ht="12.75">
      <c r="N87" s="166"/>
      <c r="O87" s="167" t="s">
        <v>32</v>
      </c>
      <c r="P87" s="165">
        <f>IF(AD33="c",mabs(Q87,R87,S87,T87,U87,V87,W87,X87,Y87,Z87)/COUNT(Q87:Z87),"")</f>
      </c>
      <c r="Q87" s="165">
        <f>IF(AD33="c",mlm1(Tech!DB33)-mlm1(Tech!CQ33),"")</f>
      </c>
      <c r="R87" s="165">
        <f>IF(AD33="c",mlmx(Tech!DC33,Tech!DB33)-mlmx(Tech!CR33,Tech!CQ33),"")</f>
      </c>
      <c r="S87" s="165">
        <f>IF(AND(AD33="c",S14&lt;&gt;""),mlmx(Tech!DD33,Tech!DB33)-mlmx(Tech!CS33,Tech!CQ33),"")</f>
      </c>
      <c r="T87" s="165">
        <f>IF(AND(AD33="c",T14&lt;&gt;""),mlmx(Tech!DE33,Tech!DB33)-mlmx(Tech!CT33,Tech!CQ33),"")</f>
      </c>
      <c r="U87" s="165">
        <f>IF(AND(AD33="c",U14&lt;&gt;""),mlmx(Tech!DF33,Tech!DB33)-mlmx(Tech!CU33,Tech!CQ33),"")</f>
      </c>
      <c r="V87" s="165">
        <f>IF(AND(AD33="c",V14&lt;&gt;""),mlmx(Tech!DG33,Tech!DB33)-mlmx(Tech!CV33,Tech!CQ33),"")</f>
      </c>
      <c r="W87" s="165">
        <f>IF(AND(AD33="c",W14&lt;&gt;""),mlmx(Tech!DH33,Tech!DB33)-mlmx(Tech!CW33,Tech!CQ33),"")</f>
      </c>
      <c r="X87" s="165">
        <f>IF(AND(AD33="c",X14&lt;&gt;""),mlmx(Tech!DI33,Tech!DB33)-mlmx(Tech!CX33,Tech!CQ33),"")</f>
      </c>
      <c r="Y87" s="165">
        <f>IF(AND(AD33="c",Y14&lt;&gt;""),mlmx(Tech!DJ33,Tech!DB33)-mlmx(Tech!CY33,Tech!CQ33),"")</f>
      </c>
      <c r="Z87" s="165">
        <f>IF(AND(AD33="c",Z14&lt;&gt;""),mlmx(Tech!DK33,Tech!DB33)-mlmx(Tech!CZ33,Tech!CQ33),"")</f>
      </c>
      <c r="AD87" s="22"/>
      <c r="AE87" s="57"/>
    </row>
    <row r="88" spans="14:31" ht="12.75">
      <c r="N88" s="166">
        <f>IF(AB34="","",AB34)</f>
      </c>
      <c r="O88" s="164" t="s">
        <v>31</v>
      </c>
      <c r="P88" s="165">
        <f>IF(AD34="b",mabs(Q88,R88,S88,T88,U88,V88,W88,X88,Y88,Z88)/COUNT(Q88:Z88),"")</f>
      </c>
      <c r="Q88" s="165">
        <f>IF(AD34="b",mlm1(Tech!AN34)-mlm1(Tech!AC34),"")</f>
      </c>
      <c r="R88" s="165">
        <f>IF(AD34="b",mlmx(Tech!AO34,Tech!AN34)-mlmx(Tech!AD34,Tech!AC34),"")</f>
      </c>
      <c r="S88" s="165">
        <f>IF(AND(AD34="b",S14&lt;&gt;""),mlmx(Tech!AP34,Tech!AN34)-mlmx(Tech!AE34,Tech!AC34),"")</f>
      </c>
      <c r="T88" s="165">
        <f>IF(AND(AD34="b",T14&lt;&gt;""),mlmx(Tech!AQ34,Tech!AN34)-mlmx(Tech!AF34,Tech!AC34),"")</f>
      </c>
      <c r="U88" s="165">
        <f>IF(AND(AD34="b",U14&lt;&gt;""),mlmx(Tech!AR34,Tech!AN34)-mlmx(Tech!AG34,Tech!AC34),"")</f>
      </c>
      <c r="V88" s="165">
        <f>IF(AND(AD34="b",V14&lt;&gt;""),mlmx(Tech!AS34,Tech!AN34)-mlmx(Tech!AH34,Tech!AC34),"")</f>
      </c>
      <c r="W88" s="165">
        <f>IF(AND(AD34="b",W14&lt;&gt;""),mlmx(Tech!AT34,Tech!AN34)-mlmx(Tech!AI34,Tech!AC34),"")</f>
      </c>
      <c r="X88" s="165">
        <f>IF(AND(AD34="b",X14&lt;&gt;""),mlmx(Tech!AU34,Tech!AN34)-mlmx(Tech!AJ34,Tech!AC34),"")</f>
      </c>
      <c r="Y88" s="165">
        <f>IF(AND(AD34="b",Y14&lt;&gt;""),mlmx(Tech!AV34,Tech!AN34)-mlmx(Tech!AK34,Tech!AC34),"")</f>
      </c>
      <c r="Z88" s="165">
        <f>IF(AND(AD34="b",Z14&lt;&gt;""),mlmx(Tech!AW34,Tech!AN34)-mlmx(Tech!AL34,Tech!AC34),"")</f>
      </c>
      <c r="AD88" s="22"/>
      <c r="AE88" s="57"/>
    </row>
    <row r="89" spans="14:31" ht="12.75">
      <c r="N89" s="166"/>
      <c r="O89" s="167" t="s">
        <v>103</v>
      </c>
      <c r="P89" s="165">
        <f>IF(AD34="c",mabs(Q89,R89,S89,T89,U89,V89,W89,X89,Y89,Z89)/COUNT(Q89:Z89),"")</f>
      </c>
      <c r="Q89" s="165">
        <f>IF(AD34="c",mlm1(Tech!BJ34)-mlm1(Tech!AY34),"")</f>
      </c>
      <c r="R89" s="165">
        <f>IF(AD34="c",mlmx(Tech!BK34,Tech!BJ34)-mlmx(Tech!AZ34,Tech!AY34),"")</f>
      </c>
      <c r="S89" s="165">
        <f>IF(AND(AD34="c",S14&lt;&gt;""),mlmx(Tech!BL34,Tech!BJ34)-mlmx(Tech!BA34,Tech!AY34),"")</f>
      </c>
      <c r="T89" s="165">
        <f>IF(AND(AD34="c",T14&lt;&gt;""),mlmx(Tech!BM34,Tech!BJ34)-mlmx(Tech!BB34,Tech!AY34),"")</f>
      </c>
      <c r="U89" s="165">
        <f>IF(AND(AD34="c",U14&lt;&gt;""),mlmx(Tech!BN34,Tech!BJ34)-mlmx(Tech!BC34,Tech!AY34),"")</f>
      </c>
      <c r="V89" s="165">
        <f>IF(AND(AD34="c",V14&lt;&gt;""),mlmx(Tech!BO34,Tech!BJ34)-mlmx(Tech!BD34,Tech!AY34),"")</f>
      </c>
      <c r="W89" s="165">
        <f>IF(AND(AD34="c",W14&lt;&gt;""),mlmx(Tech!BP34,Tech!BJ34)-mlmx(Tech!BE34,Tech!AY34),"")</f>
      </c>
      <c r="X89" s="165">
        <f>IF(AND(AD34="c",X14&lt;&gt;""),mlmx(Tech!BQ34,Tech!BJ34)-mlmx(Tech!BF34,Tech!AY34),"")</f>
      </c>
      <c r="Y89" s="165">
        <f>IF(AND(AD34="c",Y14&lt;&gt;""),mlmx(Tech!BR34,Tech!BJ34)-mlmx(Tech!BG34,Tech!AY34),"")</f>
      </c>
      <c r="Z89" s="165">
        <f>IF(AND(AD34="c",Z14&lt;&gt;""),mlmx(Tech!BS34,Tech!BJ34)-mlmx(Tech!BH34,Tech!AY34),"")</f>
      </c>
      <c r="AD89" s="22"/>
      <c r="AE89" s="57"/>
    </row>
    <row r="90" spans="14:31" ht="12.75">
      <c r="N90" s="166"/>
      <c r="O90" s="167" t="s">
        <v>104</v>
      </c>
      <c r="P90" s="165">
        <f>IF(AD34="c",mabs(Q90,R90,S90,T90,U90,V90,W90,X90,Y90,Z90)/COUNT(Q90:Z90),"")</f>
      </c>
      <c r="Q90" s="165">
        <f>IF(AD34="c",mlm1(Tech!CF34)-mlm1(Tech!BU34),"")</f>
      </c>
      <c r="R90" s="165">
        <f>IF(AD34="c",mlmx(Tech!CG34,Tech!CF34)-mlmx(Tech!BV34,Tech!BU34),"")</f>
      </c>
      <c r="S90" s="165">
        <f>IF(AND(AD34="c",S14&lt;&gt;""),mlmx(Tech!CH34,Tech!CF34)-mlmx(Tech!BW34,Tech!BU34),"")</f>
      </c>
      <c r="T90" s="165">
        <f>IF(AND(AD34="c",T14&lt;&gt;""),mlmx(Tech!CI34,Tech!CF34)-mlmx(Tech!BX34,Tech!BU34),"")</f>
      </c>
      <c r="U90" s="165">
        <f>IF(AND(AD34="c",U14&lt;&gt;""),mlmx(Tech!CJ34,Tech!CF34)-mlmx(Tech!BY34,Tech!BU34),"")</f>
      </c>
      <c r="V90" s="165">
        <f>IF(AND(AD34="c",V14&lt;&gt;""),mlmx(Tech!CK34,Tech!CF34)-mlmx(Tech!BZ34,Tech!BU34),"")</f>
      </c>
      <c r="W90" s="165">
        <f>IF(AND(AD34="c",W14&lt;&gt;""),mlmx(Tech!CL34,Tech!CF34)-mlmx(Tech!CA34,Tech!BU34),"")</f>
      </c>
      <c r="X90" s="165">
        <f>IF(AND(AD34="c",X14&lt;&gt;""),mlmx(Tech!CM34,Tech!CF34)-mlmx(Tech!CB34,Tech!BU34),"")</f>
      </c>
      <c r="Y90" s="165">
        <f>IF(AND(AD34="c",Y14&lt;&gt;""),mlmx(Tech!CN34,Tech!CF34)-mlmx(Tech!CC34,Tech!BU34),"")</f>
      </c>
      <c r="Z90" s="165">
        <f>IF(AND(AD34="c",Z14&lt;&gt;""),mlmx(Tech!CO34,Tech!CF34)-mlmx(Tech!CD34,Tech!BU34),"")</f>
      </c>
      <c r="AD90" s="22"/>
      <c r="AE90" s="57"/>
    </row>
    <row r="91" spans="14:31" ht="12.75">
      <c r="N91" s="166"/>
      <c r="O91" s="167" t="s">
        <v>32</v>
      </c>
      <c r="P91" s="165">
        <f>IF(AD34="c",mabs(Q91,R91,S91,T91,U91,V91,W91,X91,Y91,Z91)/COUNT(Q91:Z91),"")</f>
      </c>
      <c r="Q91" s="165">
        <f>IF(AD34="c",mlm1(Tech!DB34)-mlm1(Tech!CQ34),"")</f>
      </c>
      <c r="R91" s="165">
        <f>IF(AD34="c",mlmx(Tech!DC34,Tech!DB34)-mlmx(Tech!CR34,Tech!CQ34),"")</f>
      </c>
      <c r="S91" s="165">
        <f>IF(AND(AD34="c",S14&lt;&gt;""),mlmx(Tech!DD34,Tech!DB34)-mlmx(Tech!CS34,Tech!CQ34),"")</f>
      </c>
      <c r="T91" s="165">
        <f>IF(AND(AD34="c",T14&lt;&gt;""),mlmx(Tech!DE34,Tech!DB34)-mlmx(Tech!CT34,Tech!CQ34),"")</f>
      </c>
      <c r="U91" s="165">
        <f>IF(AND(AD34="c",U14&lt;&gt;""),mlmx(Tech!DF34,Tech!DB34)-mlmx(Tech!CU34,Tech!CQ34),"")</f>
      </c>
      <c r="V91" s="165">
        <f>IF(AND(AD34="c",V14&lt;&gt;""),mlmx(Tech!DG34,Tech!DB34)-mlmx(Tech!CV34,Tech!CQ34),"")</f>
      </c>
      <c r="W91" s="165">
        <f>IF(AND(AD34="c",W14&lt;&gt;""),mlmx(Tech!DH34,Tech!DB34)-mlmx(Tech!CW34,Tech!CQ34),"")</f>
      </c>
      <c r="X91" s="165">
        <f>IF(AND(AD34="c",X14&lt;&gt;""),mlmx(Tech!DI34,Tech!DB34)-mlmx(Tech!CX34,Tech!CQ34),"")</f>
      </c>
      <c r="Y91" s="165">
        <f>IF(AND(AD34="c",Y14&lt;&gt;""),mlmx(Tech!DJ34,Tech!DB34)-mlmx(Tech!CY34,Tech!CQ34),"")</f>
      </c>
      <c r="Z91" s="165">
        <f>IF(AND(AD34="c",Z14&lt;&gt;""),mlmx(Tech!DK34,Tech!DB34)-mlmx(Tech!CZ34,Tech!CQ34),"")</f>
      </c>
      <c r="AD91" s="22"/>
      <c r="AE91" s="57"/>
    </row>
    <row r="92" spans="14:31" ht="12.75">
      <c r="N92" s="166">
        <f>IF(AB35="","",AB35)</f>
      </c>
      <c r="O92" s="164" t="s">
        <v>31</v>
      </c>
      <c r="P92" s="165">
        <f>IF(AD35="b",mabs(Q92,R92,S92,T92,U92,V92,W92,X92,Y92,Z92)/COUNT(Q92:Z92),"")</f>
      </c>
      <c r="Q92" s="165">
        <f>IF(AD35="b",mlm1(Tech!AN35)-mlm1(Tech!AC35),"")</f>
      </c>
      <c r="R92" s="165">
        <f>IF(AD35="b",mlmx(Tech!AO35,Tech!AN35)-mlmx(Tech!AD35,Tech!AC35),"")</f>
      </c>
      <c r="S92" s="165">
        <f>IF(AND(AD35="b",S14&lt;&gt;""),mlmx(Tech!AP35,Tech!AN35)-mlmx(Tech!AE35,Tech!AC35),"")</f>
      </c>
      <c r="T92" s="165">
        <f>IF(AND(AD35="b",T14&lt;&gt;""),mlmx(Tech!AQ35,Tech!AN35)-mlmx(Tech!AF35,Tech!AC35),"")</f>
      </c>
      <c r="U92" s="165">
        <f>IF(AND(AD35="b",U14&lt;&gt;""),mlmx(Tech!AR35,Tech!AN35)-mlmx(Tech!AG35,Tech!AC35),"")</f>
      </c>
      <c r="V92" s="165">
        <f>IF(AND(AD35="b",V14&lt;&gt;""),mlmx(Tech!AS35,Tech!AN35)-mlmx(Tech!AH35,Tech!AC35),"")</f>
      </c>
      <c r="W92" s="165">
        <f>IF(AND(AD35="b",W14&lt;&gt;""),mlmx(Tech!AT35,Tech!AN35)-mlmx(Tech!AI35,Tech!AC35),"")</f>
      </c>
      <c r="X92" s="165">
        <f>IF(AND(AD35="b",X14&lt;&gt;""),mlmx(Tech!AU35,Tech!AN35)-mlmx(Tech!AJ35,Tech!AC35),"")</f>
      </c>
      <c r="Y92" s="165">
        <f>IF(AND(AD35="b",Y14&lt;&gt;""),mlmx(Tech!AV35,Tech!AN35)-mlmx(Tech!AK35,Tech!AC35),"")</f>
      </c>
      <c r="Z92" s="165">
        <f>IF(AND(AD35="b",Z14&lt;&gt;""),mlmx(Tech!AW35,Tech!AN35)-mlmx(Tech!AL35,Tech!AC35),"")</f>
      </c>
      <c r="AD92" s="22"/>
      <c r="AE92" s="57"/>
    </row>
    <row r="93" spans="14:31" ht="12.75">
      <c r="N93" s="166"/>
      <c r="O93" s="167" t="s">
        <v>103</v>
      </c>
      <c r="P93" s="165">
        <f>IF(AD35="c",mabs(Q93,R93,S93,T93,U93,V93,W93,X93,Y93,Z93)/COUNT(Q93:Z93),"")</f>
      </c>
      <c r="Q93" s="165">
        <f>IF(AD35="c",mlm1(Tech!BJ35)-mlm1(Tech!AY35),"")</f>
      </c>
      <c r="R93" s="165">
        <f>IF(AD35="c",mlmx(Tech!BK35,Tech!BJ35)-mlmx(Tech!AZ35,Tech!AY35),"")</f>
      </c>
      <c r="S93" s="165">
        <f>IF(AND(AD35="c",S14&lt;&gt;""),mlmx(Tech!BL35,Tech!BJ35)-mlmx(Tech!BA35,Tech!AY35),"")</f>
      </c>
      <c r="T93" s="165">
        <f>IF(AND(AD35="c",T14&lt;&gt;""),mlmx(Tech!BM35,Tech!BJ35)-mlmx(Tech!BB35,Tech!AY35),"")</f>
      </c>
      <c r="U93" s="165">
        <f>IF(AND(AD35="c",U14&lt;&gt;""),mlmx(Tech!BN35,Tech!BJ35)-mlmx(Tech!BC35,Tech!AY35),"")</f>
      </c>
      <c r="V93" s="165">
        <f>IF(AND(AD35="c",V14&lt;&gt;""),mlmx(Tech!BO35,Tech!BJ35)-mlmx(Tech!BD35,Tech!AY35),"")</f>
      </c>
      <c r="W93" s="165">
        <f>IF(AND(AD35="c",W14&lt;&gt;""),mlmx(Tech!BP35,Tech!BJ35)-mlmx(Tech!BE35,Tech!AY35),"")</f>
      </c>
      <c r="X93" s="165">
        <f>IF(AND(AD35="c",X14&lt;&gt;""),mlmx(Tech!BQ35,Tech!BJ35)-mlmx(Tech!BF35,Tech!AY35),"")</f>
      </c>
      <c r="Y93" s="165">
        <f>IF(AND(AD35="c",Y14&lt;&gt;""),mlmx(Tech!BR35,Tech!BJ35)-mlmx(Tech!BG35,Tech!AY35),"")</f>
      </c>
      <c r="Z93" s="165">
        <f>IF(AND(AD35="c",Z14&lt;&gt;""),mlmx(Tech!BS35,Tech!BJ35)-mlmx(Tech!BH35,Tech!AY35),"")</f>
      </c>
      <c r="AD93" s="22"/>
      <c r="AE93" s="57"/>
    </row>
    <row r="94" spans="14:31" ht="12.75">
      <c r="N94" s="166"/>
      <c r="O94" s="167" t="s">
        <v>104</v>
      </c>
      <c r="P94" s="165">
        <f>IF(AD35="c",mabs(Q94,R94,S94,T94,U94,V94,W94,X94,Y94,Z94)/COUNT(Q94:Z94),"")</f>
      </c>
      <c r="Q94" s="165">
        <f>IF(AD35="c",mlm1(Tech!CF35)-mlm1(Tech!BU35),"")</f>
      </c>
      <c r="R94" s="165">
        <f>IF(AD35="c",mlmx(Tech!CG35,Tech!CF35)-mlmx(Tech!BV35,Tech!BU35),"")</f>
      </c>
      <c r="S94" s="165">
        <f>IF(AND(AD35="c",S14&lt;&gt;""),mlmx(Tech!CH35,Tech!CF35)-mlmx(Tech!BW35,Tech!BU35),"")</f>
      </c>
      <c r="T94" s="165">
        <f>IF(AND(AD35="c",T14&lt;&gt;""),mlmx(Tech!CI35,Tech!CF35)-mlmx(Tech!BX35,Tech!BU35),"")</f>
      </c>
      <c r="U94" s="165">
        <f>IF(AND(AD35="c",U14&lt;&gt;""),mlmx(Tech!CJ35,Tech!CF35)-mlmx(Tech!BY35,Tech!BU35),"")</f>
      </c>
      <c r="V94" s="165">
        <f>IF(AND(AD35="c",V14&lt;&gt;""),mlmx(Tech!CK35,Tech!CF35)-mlmx(Tech!BZ35,Tech!BU35),"")</f>
      </c>
      <c r="W94" s="165">
        <f>IF(AND(AD35="c",W14&lt;&gt;""),mlmx(Tech!CL35,Tech!CF35)-mlmx(Tech!CA35,Tech!BU35),"")</f>
      </c>
      <c r="X94" s="165">
        <f>IF(AND(AD35="c",X14&lt;&gt;""),mlmx(Tech!CM35,Tech!CF35)-mlmx(Tech!CB35,Tech!BU35),"")</f>
      </c>
      <c r="Y94" s="165">
        <f>IF(AND(AD35="c",Y14&lt;&gt;""),mlmx(Tech!CN35,Tech!CF35)-mlmx(Tech!CC35,Tech!BU35),"")</f>
      </c>
      <c r="Z94" s="165">
        <f>IF(AND(AD35="c",Z14&lt;&gt;""),mlmx(Tech!CO35,Tech!CF35)-mlmx(Tech!CD35,Tech!BU35),"")</f>
      </c>
      <c r="AD94" s="22"/>
      <c r="AE94" s="57"/>
    </row>
    <row r="95" spans="14:31" ht="12.75">
      <c r="N95" s="166"/>
      <c r="O95" s="167" t="s">
        <v>32</v>
      </c>
      <c r="P95" s="165">
        <f>IF(AD35="c",mabs(Q95,R95,S95,T95,U95,V95,W95,X95,Y95,Z95)/COUNT(Q95:Z95),"")</f>
      </c>
      <c r="Q95" s="165">
        <f>IF(AD35="c",mlm1(Tech!DB35)-mlm1(Tech!CQ35),"")</f>
      </c>
      <c r="R95" s="165">
        <f>IF(AD35="c",mlmx(Tech!DC35,Tech!DB35)-mlmx(Tech!CR35,Tech!CQ35),"")</f>
      </c>
      <c r="S95" s="165">
        <f>IF(AND(AD35="c",S14&lt;&gt;""),mlmx(Tech!DD35,Tech!DB35)-mlmx(Tech!CS35,Tech!CQ35),"")</f>
      </c>
      <c r="T95" s="165">
        <f>IF(AND(AD35="c",T14&lt;&gt;""),mlmx(Tech!DE35,Tech!DB35)-mlmx(Tech!CT35,Tech!CQ35),"")</f>
      </c>
      <c r="U95" s="165">
        <f>IF(AND(AD35="c",U14&lt;&gt;""),mlmx(Tech!DF35,Tech!DB35)-mlmx(Tech!CU35,Tech!CQ35),"")</f>
      </c>
      <c r="V95" s="165">
        <f>IF(AND(AD35="c",V14&lt;&gt;""),mlmx(Tech!DG35,Tech!DB35)-mlmx(Tech!CV35,Tech!CQ35),"")</f>
      </c>
      <c r="W95" s="165">
        <f>IF(AND(AD35="c",W14&lt;&gt;""),mlmx(Tech!DH35,Tech!DB35)-mlmx(Tech!CW35,Tech!CQ35),"")</f>
      </c>
      <c r="X95" s="165">
        <f>IF(AND(AD35="c",X14&lt;&gt;""),mlmx(Tech!DI35,Tech!DB35)-mlmx(Tech!CX35,Tech!CQ35),"")</f>
      </c>
      <c r="Y95" s="165">
        <f>IF(AND(AD35="c",Y14&lt;&gt;""),mlmx(Tech!DJ35,Tech!DB35)-mlmx(Tech!CY35,Tech!CQ35),"")</f>
      </c>
      <c r="Z95" s="165">
        <f>IF(AND(AD35="c",Z14&lt;&gt;""),mlmx(Tech!DK35,Tech!DB35)-mlmx(Tech!CZ35,Tech!CQ35),"")</f>
      </c>
      <c r="AD95" s="22"/>
      <c r="AE95" s="57"/>
    </row>
    <row r="96" spans="14:31" ht="12.75">
      <c r="N96" s="166">
        <f>IF(AB36="","",AB36)</f>
      </c>
      <c r="O96" s="164" t="s">
        <v>31</v>
      </c>
      <c r="P96" s="165">
        <f>IF(AD36="b",mabs(Q96,R96,S96,T96,U96,V96,W96,X96,Y96,Z96)/COUNT(Q96:Z96),"")</f>
      </c>
      <c r="Q96" s="165">
        <f>IF(AD36="b",mlm1(Tech!AN36)-mlm1(Tech!AC36),"")</f>
      </c>
      <c r="R96" s="165">
        <f>IF(AD36="b",mlmx(Tech!AO36,Tech!AN36)-mlmx(Tech!AD36,Tech!AC36),"")</f>
      </c>
      <c r="S96" s="165">
        <f>IF(AND(AD36="b",S14&lt;&gt;""),mlmx(Tech!AP36,Tech!AN36)-mlmx(Tech!AE36,Tech!AC36),"")</f>
      </c>
      <c r="T96" s="165">
        <f>IF(AND(AD36="b",T14&lt;&gt;""),mlmx(Tech!AQ36,Tech!AN36)-mlmx(Tech!AF36,Tech!AC36),"")</f>
      </c>
      <c r="U96" s="165">
        <f>IF(AND(AD36="b",U14&lt;&gt;""),mlmx(Tech!AR36,Tech!AN36)-mlmx(Tech!AG36,Tech!AC36),"")</f>
      </c>
      <c r="V96" s="165">
        <f>IF(AND(AD36="b",V14&lt;&gt;""),mlmx(Tech!AS36,Tech!AN36)-mlmx(Tech!AH36,Tech!AC36),"")</f>
      </c>
      <c r="W96" s="165">
        <f>IF(AND(AD36="b",W14&lt;&gt;""),mlmx(Tech!AT36,Tech!AN36)-mlmx(Tech!AI36,Tech!AC36),"")</f>
      </c>
      <c r="X96" s="165">
        <f>IF(AND(AD36="b",X14&lt;&gt;""),mlmx(Tech!AU36,Tech!AN36)-mlmx(Tech!AJ36,Tech!AC36),"")</f>
      </c>
      <c r="Y96" s="165">
        <f>IF(AND(AD36="b",Y14&lt;&gt;""),mlmx(Tech!AV36,Tech!AN36)-mlmx(Tech!AK36,Tech!AC36),"")</f>
      </c>
      <c r="Z96" s="165">
        <f>IF(AND(AD36="b",Z14&lt;&gt;""),mlmx(Tech!AW36,Tech!AN36)-mlmx(Tech!AL36,Tech!AC36),"")</f>
      </c>
      <c r="AD96" s="22"/>
      <c r="AE96" s="57"/>
    </row>
    <row r="97" spans="14:31" ht="12.75">
      <c r="N97" s="166"/>
      <c r="O97" s="167" t="s">
        <v>103</v>
      </c>
      <c r="P97" s="165">
        <f>IF(AD36="c",mabs(Q97,R97,S97,T97,U97,V97,W97,X97,Y97,Z97)/COUNT(Q97:Z97),"")</f>
      </c>
      <c r="Q97" s="165">
        <f>IF(AD36="c",mlm1(Tech!BJ36)-mlm1(Tech!AY36),"")</f>
      </c>
      <c r="R97" s="165">
        <f>IF(AD36="c",mlmx(Tech!BK36,Tech!BJ36)-mlmx(Tech!AZ36,Tech!AY36),"")</f>
      </c>
      <c r="S97" s="165">
        <f>IF(AND(AD36="c",S14&lt;&gt;""),mlmx(Tech!BL36,Tech!BJ36)-mlmx(Tech!BA36,Tech!AY36),"")</f>
      </c>
      <c r="T97" s="165">
        <f>IF(AND(AD36="c",T14&lt;&gt;""),mlmx(Tech!BM36,Tech!BJ36)-mlmx(Tech!BB36,Tech!AY36),"")</f>
      </c>
      <c r="U97" s="165">
        <f>IF(AND(AD36="c",U14&lt;&gt;""),mlmx(Tech!BN36,Tech!BJ36)-mlmx(Tech!BC36,Tech!AY36),"")</f>
      </c>
      <c r="V97" s="165">
        <f>IF(AND(AD36="c",V14&lt;&gt;""),mlmx(Tech!BO36,Tech!BJ36)-mlmx(Tech!BD36,Tech!AY36),"")</f>
      </c>
      <c r="W97" s="165">
        <f>IF(AND(AD36="c",W14&lt;&gt;""),mlmx(Tech!BP36,Tech!BJ36)-mlmx(Tech!BE36,Tech!AY36),"")</f>
      </c>
      <c r="X97" s="165">
        <f>IF(AND(AD36="c",X14&lt;&gt;""),mlmx(Tech!BQ36,Tech!BJ36)-mlmx(Tech!BF36,Tech!AY36),"")</f>
      </c>
      <c r="Y97" s="165">
        <f>IF(AND(AD36="c",Y14&lt;&gt;""),mlmx(Tech!BR36,Tech!BJ36)-mlmx(Tech!BG36,Tech!AY36),"")</f>
      </c>
      <c r="Z97" s="165">
        <f>IF(AND(AD36="c",Z14&lt;&gt;""),mlmx(Tech!BS36,Tech!BJ36)-mlmx(Tech!BH36,Tech!AY36),"")</f>
      </c>
      <c r="AD97" s="22"/>
      <c r="AE97" s="57"/>
    </row>
    <row r="98" spans="14:31" ht="12.75">
      <c r="N98" s="166"/>
      <c r="O98" s="167" t="s">
        <v>104</v>
      </c>
      <c r="P98" s="165">
        <f>IF(AD36="c",mabs(Q98,R98,S98,T98,U98,V98,W98,X98,Y98,Z98)/COUNT(Q98:Z98),"")</f>
      </c>
      <c r="Q98" s="165">
        <f>IF(AD36="c",mlm1(Tech!CF36)-mlm1(Tech!BU36),"")</f>
      </c>
      <c r="R98" s="165">
        <f>IF(AD36="c",mlmx(Tech!CG36,Tech!CF36)-mlmx(Tech!BV36,Tech!BU36),"")</f>
      </c>
      <c r="S98" s="165">
        <f>IF(AND(AD36="c",S14&lt;&gt;""),mlmx(Tech!CH36,Tech!CF36)-mlmx(Tech!BW36,Tech!BU36),"")</f>
      </c>
      <c r="T98" s="165">
        <f>IF(AND(AD36="c",T14&lt;&gt;""),mlmx(Tech!CI36,Tech!CF36)-mlmx(Tech!BX36,Tech!BU36),"")</f>
      </c>
      <c r="U98" s="165">
        <f>IF(AND(AD36="c",U14&lt;&gt;""),mlmx(Tech!CJ36,Tech!CF36)-mlmx(Tech!BY36,Tech!BU36),"")</f>
      </c>
      <c r="V98" s="165">
        <f>IF(AND(AD36="c",V14&lt;&gt;""),mlmx(Tech!CK36,Tech!CF36)-mlmx(Tech!BZ36,Tech!BU36),"")</f>
      </c>
      <c r="W98" s="165">
        <f>IF(AND(AD36="c",W14&lt;&gt;""),mlmx(Tech!CL36,Tech!CF36)-mlmx(Tech!CA36,Tech!BU36),"")</f>
      </c>
      <c r="X98" s="165">
        <f>IF(AND(AD36="c",X14&lt;&gt;""),mlmx(Tech!CM36,Tech!CF36)-mlmx(Tech!CB36,Tech!BU36),"")</f>
      </c>
      <c r="Y98" s="165">
        <f>IF(AND(AD36="c",Y14&lt;&gt;""),mlmx(Tech!CN36,Tech!CF36)-mlmx(Tech!CC36,Tech!BU36),"")</f>
      </c>
      <c r="Z98" s="165">
        <f>IF(AND(AD36="c",Z14&lt;&gt;""),mlmx(Tech!CO36,Tech!CF36)-mlmx(Tech!CD36,Tech!BU36),"")</f>
      </c>
      <c r="AD98" s="22"/>
      <c r="AE98" s="57"/>
    </row>
    <row r="99" spans="14:31" ht="12.75">
      <c r="N99" s="166"/>
      <c r="O99" s="167" t="s">
        <v>32</v>
      </c>
      <c r="P99" s="165">
        <f>IF(AD36="c",mabs(Q99,R99,S99,T99,U99,V99,W99,X99,Y99,Z99)/COUNT(Q99:Z99),"")</f>
      </c>
      <c r="Q99" s="165">
        <f>IF(AD36="c",mlm1(Tech!DB36)-mlm1(Tech!CQ36),"")</f>
      </c>
      <c r="R99" s="165">
        <f>IF(AD36="c",mlmx(Tech!DC36,Tech!DB36)-mlmx(Tech!CR36,Tech!CQ36),"")</f>
      </c>
      <c r="S99" s="165">
        <f>IF(AND(AD36="c",S14&lt;&gt;""),mlmx(Tech!DD36,Tech!DB36)-mlmx(Tech!CS36,Tech!CQ36),"")</f>
      </c>
      <c r="T99" s="165">
        <f>IF(AND(AD36="c",T14&lt;&gt;""),mlmx(Tech!DE36,Tech!DB36)-mlmx(Tech!CT36,Tech!CQ36),"")</f>
      </c>
      <c r="U99" s="165">
        <f>IF(AND(AD36="c",U14&lt;&gt;""),mlmx(Tech!DF36,Tech!DB36)-mlmx(Tech!CU36,Tech!CQ36),"")</f>
      </c>
      <c r="V99" s="165">
        <f>IF(AND(AD36="c",V14&lt;&gt;""),mlmx(Tech!DG36,Tech!DB36)-mlmx(Tech!CV36,Tech!CQ36),"")</f>
      </c>
      <c r="W99" s="165">
        <f>IF(AND(AD36="c",W14&lt;&gt;""),mlmx(Tech!DH36,Tech!DB36)-mlmx(Tech!CW36,Tech!CQ36),"")</f>
      </c>
      <c r="X99" s="165">
        <f>IF(AND(AD36="c",X14&lt;&gt;""),mlmx(Tech!DI36,Tech!DB36)-mlmx(Tech!CX36,Tech!CQ36),"")</f>
      </c>
      <c r="Y99" s="165">
        <f>IF(AND(AD36="c",Y14&lt;&gt;""),mlmx(Tech!DJ36,Tech!DB36)-mlmx(Tech!CY36,Tech!CQ36),"")</f>
      </c>
      <c r="Z99" s="165">
        <f>IF(AND(AD36="c",Z14&lt;&gt;""),mlmx(Tech!DK36,Tech!DB36)-mlmx(Tech!CZ36,Tech!CQ36),"")</f>
      </c>
      <c r="AD99" s="22"/>
      <c r="AE99" s="57"/>
    </row>
    <row r="100" spans="14:31" ht="12.75">
      <c r="N100" s="166">
        <f>IF(AB37="","",AB37)</f>
      </c>
      <c r="O100" s="164" t="s">
        <v>31</v>
      </c>
      <c r="P100" s="165">
        <f>IF(AD37="b",mabs(Q100,R100,S100,T100,U100,V100,W100,X100,Y100,Z100)/COUNT(Q100:Z100),"")</f>
      </c>
      <c r="Q100" s="165">
        <f>IF(AD37="b",mlm1(Tech!AN37)-mlm1(Tech!AC37),"")</f>
      </c>
      <c r="R100" s="165">
        <f>IF(AD37="b",mlmx(Tech!AO37,Tech!AN37)-mlmx(Tech!AD37,Tech!AC37),"")</f>
      </c>
      <c r="S100" s="165">
        <f>IF(AND(AD37="b",S14&lt;&gt;""),mlmx(Tech!AP37,Tech!AN37)-mlmx(Tech!AE37,Tech!AC37),"")</f>
      </c>
      <c r="T100" s="165">
        <f>IF(AND(AD37="b",T14&lt;&gt;""),mlmx(Tech!AQ37,Tech!AN37)-mlmx(Tech!AF37,Tech!AC37),"")</f>
      </c>
      <c r="U100" s="165">
        <f>IF(AND(AD37="b",U14&lt;&gt;""),mlmx(Tech!AR37,Tech!AN37)-mlmx(Tech!AG37,Tech!AC37),"")</f>
      </c>
      <c r="V100" s="165">
        <f>IF(AND(AD37="b",V14&lt;&gt;""),mlmx(Tech!AS37,Tech!AN37)-mlmx(Tech!AH37,Tech!AC37),"")</f>
      </c>
      <c r="W100" s="165">
        <f>IF(AND(AD37="b",W14&lt;&gt;""),mlmx(Tech!AT37,Tech!AN37)-mlmx(Tech!AI37,Tech!AC37),"")</f>
      </c>
      <c r="X100" s="165">
        <f>IF(AND(AD37="b",X14&lt;&gt;""),mlmx(Tech!AU37,Tech!AN37)-mlmx(Tech!AJ37,Tech!AC37),"")</f>
      </c>
      <c r="Y100" s="165">
        <f>IF(AND(AD37="b",Y14&lt;&gt;""),mlmx(Tech!AV37,Tech!AN37)-mlmx(Tech!AK37,Tech!AC37),"")</f>
      </c>
      <c r="Z100" s="165">
        <f>IF(AND(AD37="b",Z14&lt;&gt;""),mlmx(Tech!AW37,Tech!AN37)-mlmx(Tech!AL37,Tech!AC37),"")</f>
      </c>
      <c r="AD100" s="22"/>
      <c r="AE100" s="57"/>
    </row>
    <row r="101" spans="14:31" ht="12.75">
      <c r="N101" s="166"/>
      <c r="O101" s="167" t="s">
        <v>103</v>
      </c>
      <c r="P101" s="165">
        <f>IF(AD37="c",mabs(Q101,R101,S101,T101,U101,V101,W101,X101,Y101,Z101)/COUNT(Q101:Z101),"")</f>
      </c>
      <c r="Q101" s="165">
        <f>IF(AD37="c",mlm1(Tech!BJ37)-mlm1(Tech!AY37),"")</f>
      </c>
      <c r="R101" s="165">
        <f>IF(AD37="c",mlmx(Tech!BK37,Tech!BJ37)-mlmx(Tech!AZ37,Tech!AY37),"")</f>
      </c>
      <c r="S101" s="165">
        <f>IF(AND(AD37="c",S14&lt;&gt;""),mlmx(Tech!BL37,Tech!BJ37)-mlmx(Tech!BA37,Tech!AY37),"")</f>
      </c>
      <c r="T101" s="165">
        <f>IF(AND(AD37="c",T14&lt;&gt;""),mlmx(Tech!BM37,Tech!BJ37)-mlmx(Tech!BB37,Tech!AY37),"")</f>
      </c>
      <c r="U101" s="165">
        <f>IF(AND(AD37="c",U14&lt;&gt;""),mlmx(Tech!BN37,Tech!BJ37)-mlmx(Tech!BC37,Tech!AY37),"")</f>
      </c>
      <c r="V101" s="165">
        <f>IF(AND(AD37="c",V14&lt;&gt;""),mlmx(Tech!BO37,Tech!BJ37)-mlmx(Tech!BD37,Tech!AY37),"")</f>
      </c>
      <c r="W101" s="165">
        <f>IF(AND(AD37="c",W14&lt;&gt;""),mlmx(Tech!BP37,Tech!BJ37)-mlmx(Tech!BE37,Tech!AY37),"")</f>
      </c>
      <c r="X101" s="165">
        <f>IF(AND(AD37="c",X14&lt;&gt;""),mlmx(Tech!BQ37,Tech!BJ37)-mlmx(Tech!BF37,Tech!AY37),"")</f>
      </c>
      <c r="Y101" s="165">
        <f>IF(AND(AD37="c",Y14&lt;&gt;""),mlmx(Tech!BR37,Tech!BJ37)-mlmx(Tech!BG37,Tech!AY37),"")</f>
      </c>
      <c r="Z101" s="165">
        <f>IF(AND(AD37="c",Z14&lt;&gt;""),mlmx(Tech!BS37,Tech!BJ37)-mlmx(Tech!BH37,Tech!AY37),"")</f>
      </c>
      <c r="AD101" s="22"/>
      <c r="AE101" s="57"/>
    </row>
    <row r="102" spans="14:31" ht="12.75">
      <c r="N102" s="166"/>
      <c r="O102" s="167" t="s">
        <v>104</v>
      </c>
      <c r="P102" s="165">
        <f>IF(AD37="c",mabs(Q102,R102,S102,T102,U102,V102,W102,X102,Y102,Z102)/COUNT(Q102:Z102),"")</f>
      </c>
      <c r="Q102" s="165">
        <f>IF(AD37="c",mlm1(Tech!CF37)-mlm1(Tech!BU37),"")</f>
      </c>
      <c r="R102" s="165">
        <f>IF(AD37="c",mlmx(Tech!CG37,Tech!CF37)-mlmx(Tech!BV37,Tech!BU37),"")</f>
      </c>
      <c r="S102" s="165">
        <f>IF(AND(AD37="c",S14&lt;&gt;""),mlmx(Tech!CH37,Tech!CF37)-mlmx(Tech!BW37,Tech!BU37),"")</f>
      </c>
      <c r="T102" s="165">
        <f>IF(AND(AD37="c",T14&lt;&gt;""),mlmx(Tech!CI37,Tech!CF37)-mlmx(Tech!BX37,Tech!BU37),"")</f>
      </c>
      <c r="U102" s="165">
        <f>IF(AND(AD37="c",U14&lt;&gt;""),mlmx(Tech!CJ37,Tech!CF37)-mlmx(Tech!BY37,Tech!BU37),"")</f>
      </c>
      <c r="V102" s="165">
        <f>IF(AND(AD37="c",V14&lt;&gt;""),mlmx(Tech!CK37,Tech!CF37)-mlmx(Tech!BZ37,Tech!BU37),"")</f>
      </c>
      <c r="W102" s="165">
        <f>IF(AND(AD37="c",W14&lt;&gt;""),mlmx(Tech!CL37,Tech!CF37)-mlmx(Tech!CA37,Tech!BU37),"")</f>
      </c>
      <c r="X102" s="165">
        <f>IF(AND(AD37="c",X14&lt;&gt;""),mlmx(Tech!CM37,Tech!CF37)-mlmx(Tech!CB37,Tech!BU37),"")</f>
      </c>
      <c r="Y102" s="165">
        <f>IF(AND(AD37="c",Y14&lt;&gt;""),mlmx(Tech!CN37,Tech!CF37)-mlmx(Tech!CC37,Tech!BU37),"")</f>
      </c>
      <c r="Z102" s="165">
        <f>IF(AND(AD37="c",Z14&lt;&gt;""),mlmx(Tech!CO37,Tech!CF37)-mlmx(Tech!CD37,Tech!BU37),"")</f>
      </c>
      <c r="AD102" s="22"/>
      <c r="AE102" s="57"/>
    </row>
    <row r="103" spans="14:31" ht="12.75">
      <c r="N103" s="166"/>
      <c r="O103" s="167" t="s">
        <v>32</v>
      </c>
      <c r="P103" s="165">
        <f>IF(AD37="c",mabs(Q103,R103,S103,T103,U103,V103,W103,X103,Y103,Z103)/COUNT(Q103:Z103),"")</f>
      </c>
      <c r="Q103" s="165">
        <f>IF(AD37="c",mlm1(Tech!DB37)-mlm1(Tech!CQ37),"")</f>
      </c>
      <c r="R103" s="165">
        <f>IF(AD37="c",mlmx(Tech!DC37,Tech!DB37)-mlmx(Tech!CR37,Tech!CQ37),"")</f>
      </c>
      <c r="S103" s="165">
        <f>IF(AND(AD37="c",S14&lt;&gt;""),mlmx(Tech!DD37,Tech!DB37)-mlmx(Tech!CS37,Tech!CQ37),"")</f>
      </c>
      <c r="T103" s="165">
        <f>IF(AND(AD37="c",T14&lt;&gt;""),mlmx(Tech!DE37,Tech!DB37)-mlmx(Tech!CT37,Tech!CQ37),"")</f>
      </c>
      <c r="U103" s="165">
        <f>IF(AND(AD37="c",U14&lt;&gt;""),mlmx(Tech!DF37,Tech!DB37)-mlmx(Tech!CU37,Tech!CQ37),"")</f>
      </c>
      <c r="V103" s="165">
        <f>IF(AND(AD37="c",V14&lt;&gt;""),mlmx(Tech!DG37,Tech!DB37)-mlmx(Tech!CV37,Tech!CQ37),"")</f>
      </c>
      <c r="W103" s="165">
        <f>IF(AND(AD37="c",W14&lt;&gt;""),mlmx(Tech!DH37,Tech!DB37)-mlmx(Tech!CW37,Tech!CQ37),"")</f>
      </c>
      <c r="X103" s="165">
        <f>IF(AND(AD37="c",X14&lt;&gt;""),mlmx(Tech!DI37,Tech!DB37)-mlmx(Tech!CX37,Tech!CQ37),"")</f>
      </c>
      <c r="Y103" s="165">
        <f>IF(AND(AD37="c",Y14&lt;&gt;""),mlmx(Tech!DJ37,Tech!DB37)-mlmx(Tech!CY37,Tech!CQ37),"")</f>
      </c>
      <c r="Z103" s="165">
        <f>IF(AND(AD37="c",Z14&lt;&gt;""),mlmx(Tech!DK37,Tech!DB37)-mlmx(Tech!CZ37,Tech!CQ37),"")</f>
      </c>
      <c r="AD103" s="22"/>
      <c r="AE103" s="57"/>
    </row>
    <row r="104" spans="14:31" ht="12.75">
      <c r="N104" s="166">
        <f>IF(AB38="","",AB38)</f>
      </c>
      <c r="O104" s="164" t="s">
        <v>31</v>
      </c>
      <c r="P104" s="165">
        <f>IF(AD38="b",mabs(Q104,R104,S104,T104,U104,V104,W104,X104,Y104,Z104)/COUNT(Q104:Z104),"")</f>
      </c>
      <c r="Q104" s="165">
        <f>IF(AD38="b",mlm1(Tech!AN38)-mlm1(Tech!AC38),"")</f>
      </c>
      <c r="R104" s="165">
        <f>IF(AD38="b",mlmx(Tech!AO38,Tech!AN38)-mlmx(Tech!AD38,Tech!AC38),"")</f>
      </c>
      <c r="S104" s="165">
        <f>IF(AND(AD38="b",S14&lt;&gt;""),mlmx(Tech!AP38,Tech!AN38)-mlmx(Tech!AE38,Tech!AC38),"")</f>
      </c>
      <c r="T104" s="165">
        <f>IF(AND(AD38="b",T14&lt;&gt;""),mlmx(Tech!AQ38,Tech!AN38)-mlmx(Tech!AF38,Tech!AC38),"")</f>
      </c>
      <c r="U104" s="165">
        <f>IF(AND(AD38="b",U14&lt;&gt;""),mlmx(Tech!AR38,Tech!AN38)-mlmx(Tech!AG38,Tech!AC38),"")</f>
      </c>
      <c r="V104" s="165">
        <f>IF(AND(AD38="b",V14&lt;&gt;""),mlmx(Tech!AS38,Tech!AN38)-mlmx(Tech!AH38,Tech!AC38),"")</f>
      </c>
      <c r="W104" s="165">
        <f>IF(AND(AD38="b",W14&lt;&gt;""),mlmx(Tech!AT38,Tech!AN38)-mlmx(Tech!AI38,Tech!AC38),"")</f>
      </c>
      <c r="X104" s="165">
        <f>IF(AND(AD38="b",X14&lt;&gt;""),mlmx(Tech!AU38,Tech!AN38)-mlmx(Tech!AJ38,Tech!AC38),"")</f>
      </c>
      <c r="Y104" s="165">
        <f>IF(AND(AD38="b",Y14&lt;&gt;""),mlmx(Tech!AV38,Tech!AN38)-mlmx(Tech!AK38,Tech!AC38),"")</f>
      </c>
      <c r="Z104" s="165">
        <f>IF(AND(AD38="b",Z14&lt;&gt;""),mlmx(Tech!AW38,Tech!AN38)-mlmx(Tech!AL38,Tech!AC38),"")</f>
      </c>
      <c r="AD104" s="22"/>
      <c r="AE104" s="57"/>
    </row>
    <row r="105" spans="14:31" ht="12.75">
      <c r="N105" s="166"/>
      <c r="O105" s="167" t="s">
        <v>103</v>
      </c>
      <c r="P105" s="165">
        <f>IF(AD38="c",mabs(Q105,R105,S105,T105,U105,V105,W105,X105,Y105,Z105)/COUNT(Q105:Z105),"")</f>
      </c>
      <c r="Q105" s="165">
        <f>IF(AD38="c",mlm1(Tech!BJ38)-mlm1(Tech!AY38),"")</f>
      </c>
      <c r="R105" s="165">
        <f>IF(AD38="c",mlmx(Tech!BK38,Tech!BJ38)-mlmx(Tech!AZ38,Tech!AY38),"")</f>
      </c>
      <c r="S105" s="165">
        <f>IF(AND(AD38="c",S14&lt;&gt;""),mlmx(Tech!BL38,Tech!BJ38)-mlmx(Tech!BA38,Tech!AY38),"")</f>
      </c>
      <c r="T105" s="165">
        <f>IF(AND(AD38="c",T14&lt;&gt;""),mlmx(Tech!BM38,Tech!BJ38)-mlmx(Tech!BB38,Tech!AY38),"")</f>
      </c>
      <c r="U105" s="165">
        <f>IF(AND(AD38="c",U14&lt;&gt;""),mlmx(Tech!BN38,Tech!BJ38)-mlmx(Tech!BC38,Tech!AY38),"")</f>
      </c>
      <c r="V105" s="165">
        <f>IF(AND(AD38="c",V14&lt;&gt;""),mlmx(Tech!BO38,Tech!BJ38)-mlmx(Tech!BD38,Tech!AY38),"")</f>
      </c>
      <c r="W105" s="165">
        <f>IF(AND(AD38="c",W14&lt;&gt;""),mlmx(Tech!BP38,Tech!BJ38)-mlmx(Tech!BE38,Tech!AY38),"")</f>
      </c>
      <c r="X105" s="165">
        <f>IF(AND(AD38="c",X14&lt;&gt;""),mlmx(Tech!BQ38,Tech!BJ38)-mlmx(Tech!BF38,Tech!AY38),"")</f>
      </c>
      <c r="Y105" s="165">
        <f>IF(AND(AD38="c",Y14&lt;&gt;""),mlmx(Tech!BR38,Tech!BJ38)-mlmx(Tech!BG38,Tech!AY38),"")</f>
      </c>
      <c r="Z105" s="165">
        <f>IF(AND(AD38="c",Z14&lt;&gt;""),mlmx(Tech!BS38,Tech!BJ38)-mlmx(Tech!BH38,Tech!AY38),"")</f>
      </c>
      <c r="AD105" s="22"/>
      <c r="AE105" s="57"/>
    </row>
    <row r="106" spans="14:31" ht="12.75">
      <c r="N106" s="166"/>
      <c r="O106" s="167" t="s">
        <v>104</v>
      </c>
      <c r="P106" s="165">
        <f>IF(AD38="c",mabs(Q106,R106,S106,T106,U106,V106,W106,X106,Y106,Z106)/COUNT(Q106:Z106),"")</f>
      </c>
      <c r="Q106" s="165">
        <f>IF(AD38="c",mlm1(Tech!CF38)-mlm1(Tech!BU38),"")</f>
      </c>
      <c r="R106" s="165">
        <f>IF(AD38="c",mlmx(Tech!CG38,Tech!CF38)-mlmx(Tech!BV38,Tech!BU38),"")</f>
      </c>
      <c r="S106" s="165">
        <f>IF(AND(AD38="c",S14&lt;&gt;""),mlmx(Tech!CH38,Tech!CF38)-mlmx(Tech!BW38,Tech!BU38),"")</f>
      </c>
      <c r="T106" s="165">
        <f>IF(AND(AD38="c",T14&lt;&gt;""),mlmx(Tech!CI38,Tech!CF38)-mlmx(Tech!BX38,Tech!BU38),"")</f>
      </c>
      <c r="U106" s="165">
        <f>IF(AND(AD38="c",U14&lt;&gt;""),mlmx(Tech!CJ38,Tech!CF38)-mlmx(Tech!BY38,Tech!BU38),"")</f>
      </c>
      <c r="V106" s="165">
        <f>IF(AND(AD38="c",V14&lt;&gt;""),mlmx(Tech!CK38,Tech!CF38)-mlmx(Tech!BZ38,Tech!BU38),"")</f>
      </c>
      <c r="W106" s="165">
        <f>IF(AND(AD38="c",W14&lt;&gt;""),mlmx(Tech!CL38,Tech!CF38)-mlmx(Tech!CA38,Tech!BU38),"")</f>
      </c>
      <c r="X106" s="165">
        <f>IF(AND(AD38="c",X14&lt;&gt;""),mlmx(Tech!CM38,Tech!CF38)-mlmx(Tech!CB38,Tech!BU38),"")</f>
      </c>
      <c r="Y106" s="165">
        <f>IF(AND(AD38="c",Y14&lt;&gt;""),mlmx(Tech!CN38,Tech!CF38)-mlmx(Tech!CC38,Tech!BU38),"")</f>
      </c>
      <c r="Z106" s="165">
        <f>IF(AND(AD38="c",Z14&lt;&gt;""),mlmx(Tech!CO38,Tech!CF38)-mlmx(Tech!CD38,Tech!BU38),"")</f>
      </c>
      <c r="AD106" s="22"/>
      <c r="AE106" s="57"/>
    </row>
    <row r="107" spans="14:31" ht="12.75">
      <c r="N107" s="166"/>
      <c r="O107" s="167" t="s">
        <v>32</v>
      </c>
      <c r="P107" s="165">
        <f>IF(AD38="c",mabs(Q107,R107,S107,T107,U107,V107,W107,X107,Y107,Z107)/COUNT(Q107:Z107),"")</f>
      </c>
      <c r="Q107" s="165">
        <f>IF(AD38="c",mlm1(Tech!DB38)-mlm1(Tech!CQ38),"")</f>
      </c>
      <c r="R107" s="165">
        <f>IF(AD38="c",mlmx(Tech!DC38,Tech!DB38)-mlmx(Tech!CR38,Tech!CQ38),"")</f>
      </c>
      <c r="S107" s="165">
        <f>IF(AND(AD38="c",S14&lt;&gt;""),mlmx(Tech!DD38,Tech!DB38)-mlmx(Tech!CS38,Tech!CQ38),"")</f>
      </c>
      <c r="T107" s="165">
        <f>IF(AND(AD38="c",T14&lt;&gt;""),mlmx(Tech!DE38,Tech!DB38)-mlmx(Tech!CT38,Tech!CQ38),"")</f>
      </c>
      <c r="U107" s="165">
        <f>IF(AND(AD38="c",U14&lt;&gt;""),mlmx(Tech!DF38,Tech!DB38)-mlmx(Tech!CU38,Tech!CQ38),"")</f>
      </c>
      <c r="V107" s="165">
        <f>IF(AND(AD38="c",V14&lt;&gt;""),mlmx(Tech!DG38,Tech!DB38)-mlmx(Tech!CV38,Tech!CQ38),"")</f>
      </c>
      <c r="W107" s="165">
        <f>IF(AND(AD38="c",W14&lt;&gt;""),mlmx(Tech!DH38,Tech!DB38)-mlmx(Tech!CW38,Tech!CQ38),"")</f>
      </c>
      <c r="X107" s="165">
        <f>IF(AND(AD38="c",X14&lt;&gt;""),mlmx(Tech!DI38,Tech!DB38)-mlmx(Tech!CX38,Tech!CQ38),"")</f>
      </c>
      <c r="Y107" s="165">
        <f>IF(AND(AD38="c",Y14&lt;&gt;""),mlmx(Tech!DJ38,Tech!DB38)-mlmx(Tech!CY38,Tech!CQ38),"")</f>
      </c>
      <c r="Z107" s="165">
        <f>IF(AND(AD38="c",Z14&lt;&gt;""),mlmx(Tech!DK38,Tech!DB38)-mlmx(Tech!CZ38,Tech!CQ38),"")</f>
      </c>
      <c r="AD107" s="22"/>
      <c r="AE107" s="57"/>
    </row>
    <row r="108" spans="14:31" ht="12.75">
      <c r="N108" s="166">
        <f>IF(AB39="","",AB39)</f>
      </c>
      <c r="O108" s="164" t="s">
        <v>31</v>
      </c>
      <c r="P108" s="165">
        <f>IF(AD39="b",mabs(Q108,R108,S108,T108,U108,V108,W108,X108,Y108,Z108)/COUNT(Q108:Z108),"")</f>
      </c>
      <c r="Q108" s="165">
        <f>IF(AD39="b",mlm1(Tech!AN39)-mlm1(Tech!AC39),"")</f>
      </c>
      <c r="R108" s="165">
        <f>IF(AD39="b",mlmx(Tech!AO39,Tech!AN39)-mlmx(Tech!AD39,Tech!AC39),"")</f>
      </c>
      <c r="S108" s="165">
        <f>IF(AND(AD39="b",S14&lt;&gt;""),mlmx(Tech!AP39,Tech!AN39)-mlmx(Tech!AE39,Tech!AC39),"")</f>
      </c>
      <c r="T108" s="165">
        <f>IF(AND(AD39="b",T14&lt;&gt;""),mlmx(Tech!AQ39,Tech!AN39)-mlmx(Tech!AF39,Tech!AC39),"")</f>
      </c>
      <c r="U108" s="165">
        <f>IF(AND(AD39="b",U14&lt;&gt;""),mlmx(Tech!AR39,Tech!AN39)-mlmx(Tech!AG39,Tech!AC39),"")</f>
      </c>
      <c r="V108" s="165">
        <f>IF(AND(AD39="b",V14&lt;&gt;""),mlmx(Tech!AS39,Tech!AN39)-mlmx(Tech!AH39,Tech!AC39),"")</f>
      </c>
      <c r="W108" s="165">
        <f>IF(AND(AD39="b",W14&lt;&gt;""),mlmx(Tech!AT39,Tech!AN39)-mlmx(Tech!AI39,Tech!AC39),"")</f>
      </c>
      <c r="X108" s="165">
        <f>IF(AND(AD39="b",X14&lt;&gt;""),mlmx(Tech!AU39,Tech!AN39)-mlmx(Tech!AJ39,Tech!AC39),"")</f>
      </c>
      <c r="Y108" s="165">
        <f>IF(AND(AD39="b",Y14&lt;&gt;""),mlmx(Tech!AV39,Tech!AN39)-mlmx(Tech!AK39,Tech!AC39),"")</f>
      </c>
      <c r="Z108" s="165">
        <f>IF(AND(AD39="b",Z14&lt;&gt;""),mlmx(Tech!AW39,Tech!AN39)-mlmx(Tech!AL39,Tech!AC39),"")</f>
      </c>
      <c r="AD108" s="22"/>
      <c r="AE108" s="57"/>
    </row>
    <row r="109" spans="14:31" ht="12.75">
      <c r="N109" s="166"/>
      <c r="O109" s="167" t="s">
        <v>103</v>
      </c>
      <c r="P109" s="165">
        <f>IF(AD39="c",mabs(Q109,R109,S109,T109,U109,V109,W109,X109,Y109,Z109)/COUNT(Q109:Z109),"")</f>
      </c>
      <c r="Q109" s="165">
        <f>IF(AD39="c",mlm1(Tech!BJ39)-mlm1(Tech!AY39),"")</f>
      </c>
      <c r="R109" s="165">
        <f>IF(AD39="c",mlmx(Tech!BK39,Tech!BJ39)-mlmx(Tech!AZ39,Tech!AY39),"")</f>
      </c>
      <c r="S109" s="165">
        <f>IF(AND(AD39="c",S14&lt;&gt;""),mlmx(Tech!BL39,Tech!BJ39)-mlmx(Tech!BA39,Tech!AY39),"")</f>
      </c>
      <c r="T109" s="165">
        <f>IF(AND(AD39="c",T14&lt;&gt;""),mlmx(Tech!BM39,Tech!BJ39)-mlmx(Tech!BB39,Tech!AY39),"")</f>
      </c>
      <c r="U109" s="165">
        <f>IF(AND(AD39="c",U14&lt;&gt;""),mlmx(Tech!BN39,Tech!BJ39)-mlmx(Tech!BC39,Tech!AY39),"")</f>
      </c>
      <c r="V109" s="165">
        <f>IF(AND(AD39="c",V14&lt;&gt;""),mlmx(Tech!BO39,Tech!BJ39)-mlmx(Tech!BD39,Tech!AY39),"")</f>
      </c>
      <c r="W109" s="165">
        <f>IF(AND(AD39="c",W14&lt;&gt;""),mlmx(Tech!BP39,Tech!BJ39)-mlmx(Tech!BE39,Tech!AY39),"")</f>
      </c>
      <c r="X109" s="165">
        <f>IF(AND(AD39="c",X14&lt;&gt;""),mlmx(Tech!BQ39,Tech!BJ39)-mlmx(Tech!BF39,Tech!AY39),"")</f>
      </c>
      <c r="Y109" s="165">
        <f>IF(AND(AD39="c",Y14&lt;&gt;""),mlmx(Tech!BR39,Tech!BJ39)-mlmx(Tech!BG39,Tech!AY39),"")</f>
      </c>
      <c r="Z109" s="165">
        <f>IF(AND(AD39="c",Z14&lt;&gt;""),mlmx(Tech!BS39,Tech!BJ39)-mlmx(Tech!BH39,Tech!AY39),"")</f>
      </c>
      <c r="AD109" s="22"/>
      <c r="AE109" s="57"/>
    </row>
    <row r="110" spans="14:31" ht="12.75">
      <c r="N110" s="166"/>
      <c r="O110" s="167" t="s">
        <v>104</v>
      </c>
      <c r="P110" s="165">
        <f>IF(AD39="c",mabs(Q110,R110,S110,T110,U110,V110,W110,X110,Y110,Z110)/COUNT(Q110:Z110),"")</f>
      </c>
      <c r="Q110" s="165">
        <f>IF(AD39="c",mlm1(Tech!CF39)-mlm1(Tech!BU39),"")</f>
      </c>
      <c r="R110" s="165">
        <f>IF(AD39="c",mlmx(Tech!CG39,Tech!CF39)-mlmx(Tech!BV39,Tech!BU39),"")</f>
      </c>
      <c r="S110" s="165">
        <f>IF(AND(AD39="c",S14&lt;&gt;""),mlmx(Tech!CH39,Tech!CF39)-mlmx(Tech!BW39,Tech!BU39),"")</f>
      </c>
      <c r="T110" s="165">
        <f>IF(AND(AD39="c",T14&lt;&gt;""),mlmx(Tech!CI39,Tech!CF39)-mlmx(Tech!BX39,Tech!BU39),"")</f>
      </c>
      <c r="U110" s="165">
        <f>IF(AND(AD39="c",U14&lt;&gt;""),mlmx(Tech!CJ39,Tech!CF39)-mlmx(Tech!BY39,Tech!BU39),"")</f>
      </c>
      <c r="V110" s="165">
        <f>IF(AND(AD39="c",V14&lt;&gt;""),mlmx(Tech!CK39,Tech!CF39)-mlmx(Tech!BZ39,Tech!BU39),"")</f>
      </c>
      <c r="W110" s="165">
        <f>IF(AND(AD39="c",W14&lt;&gt;""),mlmx(Tech!CL39,Tech!CF39)-mlmx(Tech!CA39,Tech!BU39),"")</f>
      </c>
      <c r="X110" s="165">
        <f>IF(AND(AD39="c",X14&lt;&gt;""),mlmx(Tech!CM39,Tech!CF39)-mlmx(Tech!CB39,Tech!BU39),"")</f>
      </c>
      <c r="Y110" s="165">
        <f>IF(AND(AD39="c",Y14&lt;&gt;""),mlmx(Tech!CN39,Tech!CF39)-mlmx(Tech!CC39,Tech!BU39),"")</f>
      </c>
      <c r="Z110" s="165">
        <f>IF(AND(AD39="c",Z14&lt;&gt;""),mlmx(Tech!CO39,Tech!CF39)-mlmx(Tech!CD39,Tech!BU39),"")</f>
      </c>
      <c r="AD110" s="22"/>
      <c r="AE110" s="57"/>
    </row>
    <row r="111" spans="14:31" ht="12.75">
      <c r="N111" s="166"/>
      <c r="O111" s="167" t="s">
        <v>32</v>
      </c>
      <c r="P111" s="165">
        <f>IF(AD39="c",mabs(Q111,R111,S111,T111,U111,V111,W111,X111,Y111,Z111)/COUNT(Q111:Z111),"")</f>
      </c>
      <c r="Q111" s="165">
        <f>IF(AD39="c",mlm1(Tech!DB39)-mlm1(Tech!CQ39),"")</f>
      </c>
      <c r="R111" s="165">
        <f>IF(AD39="c",mlmx(Tech!DC39,Tech!DB39)-mlmx(Tech!CR39,Tech!CQ39),"")</f>
      </c>
      <c r="S111" s="165">
        <f>IF(AND(AD39="c",S14&lt;&gt;""),mlmx(Tech!DD39,Tech!DB39)-mlmx(Tech!CS39,Tech!CQ39),"")</f>
      </c>
      <c r="T111" s="165">
        <f>IF(AND(AD39="c",T14&lt;&gt;""),mlmx(Tech!DE39,Tech!DB39)-mlmx(Tech!CT39,Tech!CQ39),"")</f>
      </c>
      <c r="U111" s="165">
        <f>IF(AND(AD39="c",U14&lt;&gt;""),mlmx(Tech!DF39,Tech!DB39)-mlmx(Tech!CU39,Tech!CQ39),"")</f>
      </c>
      <c r="V111" s="165">
        <f>IF(AND(AD39="c",V14&lt;&gt;""),mlmx(Tech!DG39,Tech!DB39)-mlmx(Tech!CV39,Tech!CQ39),"")</f>
      </c>
      <c r="W111" s="165">
        <f>IF(AND(AD39="c",W14&lt;&gt;""),mlmx(Tech!DH39,Tech!DB39)-mlmx(Tech!CW39,Tech!CQ39),"")</f>
      </c>
      <c r="X111" s="165">
        <f>IF(AND(AD39="c",X14&lt;&gt;""),mlmx(Tech!DI39,Tech!DB39)-mlmx(Tech!CX39,Tech!CQ39),"")</f>
      </c>
      <c r="Y111" s="165">
        <f>IF(AND(AD39="c",Y14&lt;&gt;""),mlmx(Tech!DJ39,Tech!DB39)-mlmx(Tech!CY39,Tech!CQ39),"")</f>
      </c>
      <c r="Z111" s="165">
        <f>IF(AND(AD39="c",Z14&lt;&gt;""),mlmx(Tech!DK39,Tech!DB39)-mlmx(Tech!CZ39,Tech!CQ39),"")</f>
      </c>
      <c r="AD111" s="22"/>
      <c r="AE111" s="57"/>
    </row>
    <row r="112" spans="14:31" ht="12.75">
      <c r="N112" s="166">
        <f>IF(AB40="","",AB40)</f>
      </c>
      <c r="O112" s="164" t="s">
        <v>31</v>
      </c>
      <c r="P112" s="165">
        <f>IF(AD40="b",mabs(Q112,R112,S112,T112,U112,V112,W112,X112,Y112,Z112)/COUNT(Q112:Z112),"")</f>
      </c>
      <c r="Q112" s="165">
        <f>IF(AD40="b",mlm1(Tech!AN40)-mlm1(Tech!AC40),"")</f>
      </c>
      <c r="R112" s="165">
        <f>IF(AD40="b",mlmx(Tech!AO40,Tech!AN40)-mlmx(Tech!AD40,Tech!AC40),"")</f>
      </c>
      <c r="S112" s="165">
        <f>IF(AND(AD40="b",S14&lt;&gt;""),mlmx(Tech!AP40,Tech!AN40)-mlmx(Tech!AE40,Tech!AC40),"")</f>
      </c>
      <c r="T112" s="165">
        <f>IF(AND(AD40="b",T14&lt;&gt;""),mlmx(Tech!AQ40,Tech!AN40)-mlmx(Tech!AF40,Tech!AC40),"")</f>
      </c>
      <c r="U112" s="165">
        <f>IF(AND(AD40="b",U14&lt;&gt;""),mlmx(Tech!AR40,Tech!AN40)-mlmx(Tech!AG40,Tech!AC40),"")</f>
      </c>
      <c r="V112" s="165">
        <f>IF(AND(AD40="b",V14&lt;&gt;""),mlmx(Tech!AS40,Tech!AN40)-mlmx(Tech!AH40,Tech!AC40),"")</f>
      </c>
      <c r="W112" s="165">
        <f>IF(AND(AD40="b",W14&lt;&gt;""),mlmx(Tech!AT40,Tech!AN40)-mlmx(Tech!AI40,Tech!AC40),"")</f>
      </c>
      <c r="X112" s="165">
        <f>IF(AND(AD40="b",X14&lt;&gt;""),mlmx(Tech!AU40,Tech!AN40)-mlmx(Tech!AJ40,Tech!AC40),"")</f>
      </c>
      <c r="Y112" s="165">
        <f>IF(AND(AD40="b",Y14&lt;&gt;""),mlmx(Tech!AV40,Tech!AN40)-mlmx(Tech!AK40,Tech!AC40),"")</f>
      </c>
      <c r="Z112" s="165">
        <f>IF(AND(AD40="b",Z14&lt;&gt;""),mlmx(Tech!AW40,Tech!AN40)-mlmx(Tech!AL40,Tech!AC40),"")</f>
      </c>
      <c r="AD112" s="22"/>
      <c r="AE112" s="57"/>
    </row>
    <row r="113" spans="14:31" ht="12.75">
      <c r="N113" s="166"/>
      <c r="O113" s="167" t="s">
        <v>103</v>
      </c>
      <c r="P113" s="165">
        <f>IF(AD40="c",mabs(Q113,R113,S113,T113,U113,V113,W113,X113,Y113,Z113)/COUNT(Q113:Z113),"")</f>
      </c>
      <c r="Q113" s="165">
        <f>IF(AD40="c",mlm1(Tech!BJ40)-mlm1(Tech!AY40),"")</f>
      </c>
      <c r="R113" s="165">
        <f>IF(AD40="c",mlmx(Tech!BK40,Tech!BJ40)-mlmx(Tech!AZ40,Tech!AY40),"")</f>
      </c>
      <c r="S113" s="165">
        <f>IF(AND(AD40="c",S14&lt;&gt;""),mlmx(Tech!BL40,Tech!BJ40)-mlmx(Tech!BA40,Tech!AY40),"")</f>
      </c>
      <c r="T113" s="165">
        <f>IF(AND(AD40="c",T14&lt;&gt;""),mlmx(Tech!BM40,Tech!BJ40)-mlmx(Tech!BB40,Tech!AY40),"")</f>
      </c>
      <c r="U113" s="165">
        <f>IF(AND(AD40="c",U14&lt;&gt;""),mlmx(Tech!BN40,Tech!BJ40)-mlmx(Tech!BC40,Tech!AY40),"")</f>
      </c>
      <c r="V113" s="165">
        <f>IF(AND(AD40="c",V14&lt;&gt;""),mlmx(Tech!BO40,Tech!BJ40)-mlmx(Tech!BD40,Tech!AY40),"")</f>
      </c>
      <c r="W113" s="165">
        <f>IF(AND(AD40="c",W14&lt;&gt;""),mlmx(Tech!BP40,Tech!BJ40)-mlmx(Tech!BE40,Tech!AY40),"")</f>
      </c>
      <c r="X113" s="165">
        <f>IF(AND(AD40="c",X14&lt;&gt;""),mlmx(Tech!BQ40,Tech!BJ40)-mlmx(Tech!BF40,Tech!AY40),"")</f>
      </c>
      <c r="Y113" s="165">
        <f>IF(AND(AD40="c",Y14&lt;&gt;""),mlmx(Tech!BR40,Tech!BJ40)-mlmx(Tech!BG40,Tech!AY40),"")</f>
      </c>
      <c r="Z113" s="165">
        <f>IF(AND(AD40="c",Z14&lt;&gt;""),mlmx(Tech!BS40,Tech!BJ40)-mlmx(Tech!BH40,Tech!AY40),"")</f>
      </c>
      <c r="AD113" s="22"/>
      <c r="AE113" s="57"/>
    </row>
    <row r="114" spans="14:31" ht="12.75">
      <c r="N114" s="166"/>
      <c r="O114" s="167" t="s">
        <v>104</v>
      </c>
      <c r="P114" s="165">
        <f>IF(AD40="c",mabs(Q114,R114,S114,T114,U114,V114,W114,X114,Y114,Z114)/COUNT(Q114:Z114),"")</f>
      </c>
      <c r="Q114" s="165">
        <f>IF(AD40="c",mlm1(Tech!CF40)-mlm1(Tech!BU40),"")</f>
      </c>
      <c r="R114" s="165">
        <f>IF(AD40="c",mlmx(Tech!CG40,Tech!CF40)-mlmx(Tech!BV40,Tech!BU40),"")</f>
      </c>
      <c r="S114" s="165">
        <f>IF(AND(AD40="c",S14&lt;&gt;""),mlmx(Tech!CH40,Tech!CF40)-mlmx(Tech!BW40,Tech!BU40),"")</f>
      </c>
      <c r="T114" s="165">
        <f>IF(AND(AD40="c",T14&lt;&gt;""),mlmx(Tech!CI40,Tech!CF40)-mlmx(Tech!BX40,Tech!BU40),"")</f>
      </c>
      <c r="U114" s="165">
        <f>IF(AND(AD40="c",U14&lt;&gt;""),mlmx(Tech!CJ40,Tech!CF40)-mlmx(Tech!BY40,Tech!BU40),"")</f>
      </c>
      <c r="V114" s="165">
        <f>IF(AND(AD40="c",V14&lt;&gt;""),mlmx(Tech!CK40,Tech!CF40)-mlmx(Tech!BZ40,Tech!BU40),"")</f>
      </c>
      <c r="W114" s="165">
        <f>IF(AND(AD40="c",W14&lt;&gt;""),mlmx(Tech!CL40,Tech!CF40)-mlmx(Tech!CA40,Tech!BU40),"")</f>
      </c>
      <c r="X114" s="165">
        <f>IF(AND(AD40="c",X14&lt;&gt;""),mlmx(Tech!CM40,Tech!CF40)-mlmx(Tech!CB40,Tech!BU40),"")</f>
      </c>
      <c r="Y114" s="165">
        <f>IF(AND(AD40="c",Y14&lt;&gt;""),mlmx(Tech!CN40,Tech!CF40)-mlmx(Tech!CC40,Tech!BU40),"")</f>
      </c>
      <c r="Z114" s="165">
        <f>IF(AND(AD40="c",Z14&lt;&gt;""),mlmx(Tech!CO40,Tech!CF40)-mlmx(Tech!CD40,Tech!BU40),"")</f>
      </c>
      <c r="AD114" s="22"/>
      <c r="AE114" s="57"/>
    </row>
    <row r="115" spans="14:31" ht="12.75">
      <c r="N115" s="166"/>
      <c r="O115" s="167" t="s">
        <v>32</v>
      </c>
      <c r="P115" s="165">
        <f>IF(AD40="c",mabs(Q115,R115,S115,T115,U115,V115,W115,X115,Y115,Z115)/COUNT(Q115:Z115),"")</f>
      </c>
      <c r="Q115" s="165">
        <f>IF(AD40="c",mlm1(Tech!DB40)-mlm1(Tech!CQ40),"")</f>
      </c>
      <c r="R115" s="165">
        <f>IF(AD40="c",mlmx(Tech!DC40,Tech!DB40)-mlmx(Tech!CR40,Tech!CQ40),"")</f>
      </c>
      <c r="S115" s="165">
        <f>IF(AND(AD40="c",S14&lt;&gt;""),mlmx(Tech!DD40,Tech!DB40)-mlmx(Tech!CS40,Tech!CQ40),"")</f>
      </c>
      <c r="T115" s="165">
        <f>IF(AND(AD40="c",T14&lt;&gt;""),mlmx(Tech!DE40,Tech!DB40)-mlmx(Tech!CT40,Tech!CQ40),"")</f>
      </c>
      <c r="U115" s="165">
        <f>IF(AND(AD40="c",U14&lt;&gt;""),mlmx(Tech!DF40,Tech!DB40)-mlmx(Tech!CU40,Tech!CQ40),"")</f>
      </c>
      <c r="V115" s="165">
        <f>IF(AND(AD40="c",V14&lt;&gt;""),mlmx(Tech!DG40,Tech!DB40)-mlmx(Tech!CV40,Tech!CQ40),"")</f>
      </c>
      <c r="W115" s="165">
        <f>IF(AND(AD40="c",W14&lt;&gt;""),mlmx(Tech!DH40,Tech!DB40)-mlmx(Tech!CW40,Tech!CQ40),"")</f>
      </c>
      <c r="X115" s="165">
        <f>IF(AND(AD40="c",X14&lt;&gt;""),mlmx(Tech!DI40,Tech!DB40)-mlmx(Tech!CX40,Tech!CQ40),"")</f>
      </c>
      <c r="Y115" s="165">
        <f>IF(AND(AD40="c",Y14&lt;&gt;""),mlmx(Tech!DJ40,Tech!DB40)-mlmx(Tech!CY40,Tech!CQ40),"")</f>
      </c>
      <c r="Z115" s="165">
        <f>IF(AND(AD40="c",Z14&lt;&gt;""),mlmx(Tech!DK40,Tech!DB40)-mlmx(Tech!CZ40,Tech!CQ40),"")</f>
      </c>
      <c r="AD115" s="22"/>
      <c r="AE115" s="57"/>
    </row>
    <row r="116" spans="14:31" ht="12.75">
      <c r="N116" s="166">
        <f>IF(AB41="","",AB41)</f>
      </c>
      <c r="O116" s="164" t="s">
        <v>31</v>
      </c>
      <c r="P116" s="165">
        <f>IF(AD41="b",mabs(Q116,R116,S116,T116,U116,V116,W116,X116,Y116,Z116)/COUNT(Q116:Z116),"")</f>
      </c>
      <c r="Q116" s="165">
        <f>IF(AD41="b",mlm1(Tech!AN41)-mlm1(Tech!AC41),"")</f>
      </c>
      <c r="R116" s="165">
        <f>IF(AD41="b",mlmx(Tech!AO41,Tech!AN41)-mlmx(Tech!AD41,Tech!AC41),"")</f>
      </c>
      <c r="S116" s="165">
        <f>IF(AND(AD41="b",S14&lt;&gt;""),mlmx(Tech!AP41,Tech!AN41)-mlmx(Tech!AE41,Tech!AC41),"")</f>
      </c>
      <c r="T116" s="165">
        <f>IF(AND(AD41="b",T14&lt;&gt;""),mlmx(Tech!AQ41,Tech!AN41)-mlmx(Tech!AF41,Tech!AC41),"")</f>
      </c>
      <c r="U116" s="165">
        <f>IF(AND(AD41="b",U14&lt;&gt;""),mlmx(Tech!AR41,Tech!AN41)-mlmx(Tech!AG41,Tech!AC41),"")</f>
      </c>
      <c r="V116" s="165">
        <f>IF(AND(AD41="b",V14&lt;&gt;""),mlmx(Tech!AS41,Tech!AN41)-mlmx(Tech!AH41,Tech!AC41),"")</f>
      </c>
      <c r="W116" s="165">
        <f>IF(AND(AD41="b",W14&lt;&gt;""),mlmx(Tech!AT41,Tech!AN41)-mlmx(Tech!AI41,Tech!AC41),"")</f>
      </c>
      <c r="X116" s="165">
        <f>IF(AND(AD41="b",X14&lt;&gt;""),mlmx(Tech!AU41,Tech!AN41)-mlmx(Tech!AJ41,Tech!AC41),"")</f>
      </c>
      <c r="Y116" s="165">
        <f>IF(AND(AD41="b",Y14&lt;&gt;""),mlmx(Tech!AV41,Tech!AN41)-mlmx(Tech!AK41,Tech!AC41),"")</f>
      </c>
      <c r="Z116" s="165">
        <f>IF(AND(AD41="b",Z14&lt;&gt;""),mlmx(Tech!AW41,Tech!AN41)-mlmx(Tech!AL41,Tech!AC41),"")</f>
      </c>
      <c r="AD116" s="22"/>
      <c r="AE116" s="57"/>
    </row>
    <row r="117" spans="14:31" ht="12.75">
      <c r="N117" s="166"/>
      <c r="O117" s="167" t="s">
        <v>103</v>
      </c>
      <c r="P117" s="165">
        <f>IF(AD41="c",mabs(Q117,R117,S117,T117,U117,V117,W117,X117,Y117,Z117)/COUNT(Q117:Z117),"")</f>
      </c>
      <c r="Q117" s="165">
        <f>IF(AD41="c",mlm1(Tech!BJ41)-mlm1(Tech!AY41),"")</f>
      </c>
      <c r="R117" s="165">
        <f>IF(AD41="c",mlmx(Tech!BK41,Tech!BJ41)-mlmx(Tech!AZ41,Tech!AY41),"")</f>
      </c>
      <c r="S117" s="165">
        <f>IF(AND(AD41="c",S14&lt;&gt;""),mlmx(Tech!BL41,Tech!BJ41)-mlmx(Tech!BA41,Tech!AY41),"")</f>
      </c>
      <c r="T117" s="165">
        <f>IF(AND(AD41="c",T14&lt;&gt;""),mlmx(Tech!BM41,Tech!BJ41)-mlmx(Tech!BB41,Tech!AY41),"")</f>
      </c>
      <c r="U117" s="165">
        <f>IF(AND(AD41="c",U14&lt;&gt;""),mlmx(Tech!BN41,Tech!BJ41)-mlmx(Tech!BC41,Tech!AY41),"")</f>
      </c>
      <c r="V117" s="165">
        <f>IF(AND(AD41="c",V14&lt;&gt;""),mlmx(Tech!BO41,Tech!BJ41)-mlmx(Tech!BD41,Tech!AY41),"")</f>
      </c>
      <c r="W117" s="165">
        <f>IF(AND(AD41="c",W14&lt;&gt;""),mlmx(Tech!BP41,Tech!BJ41)-mlmx(Tech!BE41,Tech!AY41),"")</f>
      </c>
      <c r="X117" s="165">
        <f>IF(AND(AD41="c",X14&lt;&gt;""),mlmx(Tech!BQ41,Tech!BJ41)-mlmx(Tech!BF41,Tech!AY41),"")</f>
      </c>
      <c r="Y117" s="165">
        <f>IF(AND(AD41="c",Y14&lt;&gt;""),mlmx(Tech!BR41,Tech!BJ41)-mlmx(Tech!BG41,Tech!AY41),"")</f>
      </c>
      <c r="Z117" s="165">
        <f>IF(AND(AD41="c",Z14&lt;&gt;""),mlmx(Tech!BS41,Tech!BJ41)-mlmx(Tech!BH41,Tech!AY41),"")</f>
      </c>
      <c r="AD117" s="22"/>
      <c r="AE117" s="57"/>
    </row>
    <row r="118" spans="14:31" ht="12.75">
      <c r="N118" s="166"/>
      <c r="O118" s="167" t="s">
        <v>104</v>
      </c>
      <c r="P118" s="165">
        <f>IF(AD41="c",mabs(Q118,R118,S118,T118,U118,V118,W118,X118,Y118,Z118)/COUNT(Q118:Z118),"")</f>
      </c>
      <c r="Q118" s="165">
        <f>IF(AD41="c",mlm1(Tech!CF41)-mlm1(Tech!BU41),"")</f>
      </c>
      <c r="R118" s="165">
        <f>IF(AD41="c",mlmx(Tech!CG41,Tech!CF41)-mlmx(Tech!BV41,Tech!BU41),"")</f>
      </c>
      <c r="S118" s="165">
        <f>IF(AND(AD41="c",S14&lt;&gt;""),mlmx(Tech!CH41,Tech!CF41)-mlmx(Tech!BW41,Tech!BU41),"")</f>
      </c>
      <c r="T118" s="165">
        <f>IF(AND(AD41="c",T14&lt;&gt;""),mlmx(Tech!CI41,Tech!CF41)-mlmx(Tech!BX41,Tech!BU41),"")</f>
      </c>
      <c r="U118" s="165">
        <f>IF(AND(AD41="c",U14&lt;&gt;""),mlmx(Tech!CJ41,Tech!CF41)-mlmx(Tech!BY41,Tech!BU41),"")</f>
      </c>
      <c r="V118" s="165">
        <f>IF(AND(AD41="c",V14&lt;&gt;""),mlmx(Tech!CK41,Tech!CF41)-mlmx(Tech!BZ41,Tech!BU41),"")</f>
      </c>
      <c r="W118" s="165">
        <f>IF(AND(AD41="c",W14&lt;&gt;""),mlmx(Tech!CL41,Tech!CF41)-mlmx(Tech!CA41,Tech!BU41),"")</f>
      </c>
      <c r="X118" s="165">
        <f>IF(AND(AD41="c",X14&lt;&gt;""),mlmx(Tech!CM41,Tech!CF41)-mlmx(Tech!CB41,Tech!BU41),"")</f>
      </c>
      <c r="Y118" s="165">
        <f>IF(AND(AD41="c",Y14&lt;&gt;""),mlmx(Tech!CN41,Tech!CF41)-mlmx(Tech!CC41,Tech!BU41),"")</f>
      </c>
      <c r="Z118" s="165">
        <f>IF(AND(AD41="c",Z14&lt;&gt;""),mlmx(Tech!CO41,Tech!CF41)-mlmx(Tech!CD41,Tech!BU41),"")</f>
      </c>
      <c r="AD118" s="22"/>
      <c r="AE118" s="57"/>
    </row>
    <row r="119" spans="14:31" ht="12.75">
      <c r="N119" s="166"/>
      <c r="O119" s="167" t="s">
        <v>32</v>
      </c>
      <c r="P119" s="165">
        <f>IF(AD41="c",mabs(Q119,R119,S119,T119,U119,V119,W119,X119,Y119,Z119)/COUNT(Q119:Z119),"")</f>
      </c>
      <c r="Q119" s="165">
        <f>IF(AD41="c",mlm1(Tech!DB41)-mlm1(Tech!CQ41),"")</f>
      </c>
      <c r="R119" s="165">
        <f>IF(AD41="c",mlmx(Tech!DC41,Tech!DB41)-mlmx(Tech!CR41,Tech!CQ41),"")</f>
      </c>
      <c r="S119" s="165">
        <f>IF(AND(AD41="c",S14&lt;&gt;""),mlmx(Tech!DD41,Tech!DB41)-mlmx(Tech!CS41,Tech!CQ41),"")</f>
      </c>
      <c r="T119" s="165">
        <f>IF(AND(AD41="c",T14&lt;&gt;""),mlmx(Tech!DE41,Tech!DB41)-mlmx(Tech!CT41,Tech!CQ41),"")</f>
      </c>
      <c r="U119" s="165">
        <f>IF(AND(AD41="c",U14&lt;&gt;""),mlmx(Tech!DF41,Tech!DB41)-mlmx(Tech!CU41,Tech!CQ41),"")</f>
      </c>
      <c r="V119" s="165">
        <f>IF(AND(AD41="c",V14&lt;&gt;""),mlmx(Tech!DG41,Tech!DB41)-mlmx(Tech!CV41,Tech!CQ41),"")</f>
      </c>
      <c r="W119" s="165">
        <f>IF(AND(AD41="c",W14&lt;&gt;""),mlmx(Tech!DH41,Tech!DB41)-mlmx(Tech!CW41,Tech!CQ41),"")</f>
      </c>
      <c r="X119" s="165">
        <f>IF(AND(AD41="c",X14&lt;&gt;""),mlmx(Tech!DI41,Tech!DB41)-mlmx(Tech!CX41,Tech!CQ41),"")</f>
      </c>
      <c r="Y119" s="165">
        <f>IF(AND(AD41="c",Y14&lt;&gt;""),mlmx(Tech!DJ41,Tech!DB41)-mlmx(Tech!CY41,Tech!CQ41),"")</f>
      </c>
      <c r="Z119" s="165">
        <f>IF(AND(AD41="c",Z14&lt;&gt;""),mlmx(Tech!DK41,Tech!DB41)-mlmx(Tech!CZ41,Tech!CQ41),"")</f>
      </c>
      <c r="AD119" s="22"/>
      <c r="AE119" s="57"/>
    </row>
    <row r="120" spans="14:31" ht="12.75">
      <c r="N120" s="166">
        <f>IF(AB42="","",AB42)</f>
      </c>
      <c r="O120" s="164" t="s">
        <v>31</v>
      </c>
      <c r="P120" s="165">
        <f>IF(AD42="b",mabs(Q120,R120,S120,T120,U120,V120,W120,X120,Y120,Z120)/COUNT(Q120:Z120),"")</f>
      </c>
      <c r="Q120" s="165">
        <f>IF(AD42="b",mlm1(Tech!AN42)-mlm1(Tech!AC42),"")</f>
      </c>
      <c r="R120" s="165">
        <f>IF(AD42="b",mlmx(Tech!AO42,Tech!AN42)-mlmx(Tech!AD42,Tech!AC42),"")</f>
      </c>
      <c r="S120" s="165">
        <f>IF(AND(AD42="b",S14&lt;&gt;""),mlmx(Tech!AP42,Tech!AN42)-mlmx(Tech!AE42,Tech!AC42),"")</f>
      </c>
      <c r="T120" s="165">
        <f>IF(AND(AD42="b",T14&lt;&gt;""),mlmx(Tech!AQ42,Tech!AN42)-mlmx(Tech!AF42,Tech!AC42),"")</f>
      </c>
      <c r="U120" s="165">
        <f>IF(AND(AD42="b",U14&lt;&gt;""),mlmx(Tech!AR42,Tech!AN42)-mlmx(Tech!AG42,Tech!AC42),"")</f>
      </c>
      <c r="V120" s="165">
        <f>IF(AND(AD42="b",V14&lt;&gt;""),mlmx(Tech!AS42,Tech!AN42)-mlmx(Tech!AH42,Tech!AC42),"")</f>
      </c>
      <c r="W120" s="165">
        <f>IF(AND(AD42="b",W14&lt;&gt;""),mlmx(Tech!AT42,Tech!AN42)-mlmx(Tech!AI42,Tech!AC42),"")</f>
      </c>
      <c r="X120" s="165">
        <f>IF(AND(AD42="b",X14&lt;&gt;""),mlmx(Tech!AU42,Tech!AN42)-mlmx(Tech!AJ42,Tech!AC42),"")</f>
      </c>
      <c r="Y120" s="165">
        <f>IF(AND(AD42="b",Y14&lt;&gt;""),mlmx(Tech!AV42,Tech!AN42)-mlmx(Tech!AK42,Tech!AC42),"")</f>
      </c>
      <c r="Z120" s="165">
        <f>IF(AND(AD42="b",Z14&lt;&gt;""),mlmx(Tech!AW42,Tech!AN42)-mlmx(Tech!AL42,Tech!AC42),"")</f>
      </c>
      <c r="AD120" s="22"/>
      <c r="AE120" s="57"/>
    </row>
    <row r="121" spans="14:31" ht="12.75">
      <c r="N121" s="166"/>
      <c r="O121" s="167" t="s">
        <v>103</v>
      </c>
      <c r="P121" s="165">
        <f>IF(AD42="c",mabs(Q121,R121,S121,T121,U121,V121,W121,X121,Y121,Z121)/COUNT(Q121:Z121),"")</f>
      </c>
      <c r="Q121" s="165">
        <f>IF(AD42="c",mlm1(Tech!BJ42)-mlm1(Tech!AY42),"")</f>
      </c>
      <c r="R121" s="165">
        <f>IF(AD42="c",mlmx(Tech!BK42,Tech!BJ42)-mlmx(Tech!AZ42,Tech!AY42),"")</f>
      </c>
      <c r="S121" s="165">
        <f>IF(AND(AD42="c",S14&lt;&gt;""),mlmx(Tech!BL42,Tech!BJ42)-mlmx(Tech!BA42,Tech!AY42),"")</f>
      </c>
      <c r="T121" s="165">
        <f>IF(AND(AD42="c",T14&lt;&gt;""),mlmx(Tech!BM42,Tech!BJ42)-mlmx(Tech!BB42,Tech!AY42),"")</f>
      </c>
      <c r="U121" s="165">
        <f>IF(AND(AD42="c",U14&lt;&gt;""),mlmx(Tech!BN42,Tech!BJ42)-mlmx(Tech!BC42,Tech!AY42),"")</f>
      </c>
      <c r="V121" s="165">
        <f>IF(AND(AD42="c",V14&lt;&gt;""),mlmx(Tech!BO42,Tech!BJ42)-mlmx(Tech!BD42,Tech!AY42),"")</f>
      </c>
      <c r="W121" s="165">
        <f>IF(AND(AD42="c",W14&lt;&gt;""),mlmx(Tech!BP42,Tech!BJ42)-mlmx(Tech!BE42,Tech!AY42),"")</f>
      </c>
      <c r="X121" s="165">
        <f>IF(AND(AD42="c",X14&lt;&gt;""),mlmx(Tech!BQ42,Tech!BJ42)-mlmx(Tech!BF42,Tech!AY42),"")</f>
      </c>
      <c r="Y121" s="165">
        <f>IF(AND(AD42="c",Y14&lt;&gt;""),mlmx(Tech!BR42,Tech!BJ42)-mlmx(Tech!BG42,Tech!AY42),"")</f>
      </c>
      <c r="Z121" s="165">
        <f>IF(AND(AD42="c",Z14&lt;&gt;""),mlmx(Tech!BS42,Tech!BJ42)-mlmx(Tech!BH42,Tech!AY42),"")</f>
      </c>
      <c r="AD121" s="22"/>
      <c r="AE121" s="57"/>
    </row>
    <row r="122" spans="14:31" ht="12.75">
      <c r="N122" s="166"/>
      <c r="O122" s="167" t="s">
        <v>104</v>
      </c>
      <c r="P122" s="165">
        <f>IF(AD42="c",mabs(Q122,R122,S122,T122,U122,V122,W122,X122,Y122,Z122)/COUNT(Q122:Z122),"")</f>
      </c>
      <c r="Q122" s="165">
        <f>IF(AD42="c",mlm1(Tech!CF42)-mlm1(Tech!BU42),"")</f>
      </c>
      <c r="R122" s="165">
        <f>IF(AD42="c",mlmx(Tech!CG42,Tech!CF42)-mlmx(Tech!BV42,Tech!BU42),"")</f>
      </c>
      <c r="S122" s="165">
        <f>IF(AND(AD42="c",S14&lt;&gt;""),mlmx(Tech!CH42,Tech!CF42)-mlmx(Tech!BW42,Tech!BU42),"")</f>
      </c>
      <c r="T122" s="165">
        <f>IF(AND(AD42="c",T14&lt;&gt;""),mlmx(Tech!CI42,Tech!CF42)-mlmx(Tech!BX42,Tech!BU42),"")</f>
      </c>
      <c r="U122" s="165">
        <f>IF(AND(AD42="c",U14&lt;&gt;""),mlmx(Tech!CJ42,Tech!CF42)-mlmx(Tech!BY42,Tech!BU42),"")</f>
      </c>
      <c r="V122" s="165">
        <f>IF(AND(AD42="c",V14&lt;&gt;""),mlmx(Tech!CK42,Tech!CF42)-mlmx(Tech!BZ42,Tech!BU42),"")</f>
      </c>
      <c r="W122" s="165">
        <f>IF(AND(AD42="c",W14&lt;&gt;""),mlmx(Tech!CL42,Tech!CF42)-mlmx(Tech!CA42,Tech!BU42),"")</f>
      </c>
      <c r="X122" s="165">
        <f>IF(AND(AD42="c",X14&lt;&gt;""),mlmx(Tech!CM42,Tech!CF42)-mlmx(Tech!CB42,Tech!BU42),"")</f>
      </c>
      <c r="Y122" s="165">
        <f>IF(AND(AD42="c",Y14&lt;&gt;""),mlmx(Tech!CN42,Tech!CF42)-mlmx(Tech!CC42,Tech!BU42),"")</f>
      </c>
      <c r="Z122" s="165">
        <f>IF(AND(AD42="c",Z14&lt;&gt;""),mlmx(Tech!CO42,Tech!CF42)-mlmx(Tech!CD42,Tech!BU42),"")</f>
      </c>
      <c r="AD122" s="22"/>
      <c r="AE122" s="57"/>
    </row>
    <row r="123" spans="14:31" ht="12.75">
      <c r="N123" s="166"/>
      <c r="O123" s="167" t="s">
        <v>32</v>
      </c>
      <c r="P123" s="165">
        <f>IF(AD42="c",mabs(Q123,R123,S123,T123,U123,V123,W123,X123,Y123,Z123)/COUNT(Q123:Z123),"")</f>
      </c>
      <c r="Q123" s="165">
        <f>IF(AD42="c",mlm1(Tech!DB42)-mlm1(Tech!CQ42),"")</f>
      </c>
      <c r="R123" s="165">
        <f>IF(AD42="c",mlmx(Tech!DC42,Tech!DB42)-mlmx(Tech!CR42,Tech!CQ42),"")</f>
      </c>
      <c r="S123" s="165">
        <f>IF(AND(AD42="c",S14&lt;&gt;""),mlmx(Tech!DD42,Tech!DB42)-mlmx(Tech!CS42,Tech!CQ42),"")</f>
      </c>
      <c r="T123" s="165">
        <f>IF(AND(AD42="c",T14&lt;&gt;""),mlmx(Tech!DE42,Tech!DB42)-mlmx(Tech!CT42,Tech!CQ42),"")</f>
      </c>
      <c r="U123" s="165">
        <f>IF(AND(AD42="c",U14&lt;&gt;""),mlmx(Tech!DF42,Tech!DB42)-mlmx(Tech!CU42,Tech!CQ42),"")</f>
      </c>
      <c r="V123" s="165">
        <f>IF(AND(AD42="c",V14&lt;&gt;""),mlmx(Tech!DG42,Tech!DB42)-mlmx(Tech!CV42,Tech!CQ42),"")</f>
      </c>
      <c r="W123" s="165">
        <f>IF(AND(AD42="c",W14&lt;&gt;""),mlmx(Tech!DH42,Tech!DB42)-mlmx(Tech!CW42,Tech!CQ42),"")</f>
      </c>
      <c r="X123" s="165">
        <f>IF(AND(AD42="c",X14&lt;&gt;""),mlmx(Tech!DI42,Tech!DB42)-mlmx(Tech!CX42,Tech!CQ42),"")</f>
      </c>
      <c r="Y123" s="165">
        <f>IF(AND(AD42="c",Y14&lt;&gt;""),mlmx(Tech!DJ42,Tech!DB42)-mlmx(Tech!CY42,Tech!CQ42),"")</f>
      </c>
      <c r="Z123" s="165">
        <f>IF(AND(AD42="c",Z14&lt;&gt;""),mlmx(Tech!DK42,Tech!DB42)-mlmx(Tech!CZ42,Tech!CQ42),"")</f>
      </c>
      <c r="AD123" s="22"/>
      <c r="AE123" s="57"/>
    </row>
    <row r="124" spans="14:31" ht="12.75">
      <c r="N124" s="166">
        <f>IF(AB43="","",AB43)</f>
      </c>
      <c r="O124" s="164" t="s">
        <v>31</v>
      </c>
      <c r="P124" s="165">
        <f>IF(AD43="b",mabs(Q124,R124,S124,T124,U124,V124,W124,X124,Y124,Z124)/COUNT(Q124:Z124),"")</f>
      </c>
      <c r="Q124" s="165">
        <f>IF(AD43="b",mlm1(Tech!AN43)-mlm1(Tech!AC43),"")</f>
      </c>
      <c r="R124" s="165">
        <f>IF(AD43="b",mlmx(Tech!AO43,Tech!AN43)-mlmx(Tech!AD43,Tech!AC43),"")</f>
      </c>
      <c r="S124" s="165">
        <f>IF(AND(AD43="b",S14&lt;&gt;""),mlmx(Tech!AP43,Tech!AN43)-mlmx(Tech!AE43,Tech!AC43),"")</f>
      </c>
      <c r="T124" s="165">
        <f>IF(AND(AD43="b",T14&lt;&gt;""),mlmx(Tech!AQ43,Tech!AN43)-mlmx(Tech!AF43,Tech!AC43),"")</f>
      </c>
      <c r="U124" s="165">
        <f>IF(AND(AD43="b",U14&lt;&gt;""),mlmx(Tech!AR43,Tech!AN43)-mlmx(Tech!AG43,Tech!AC43),"")</f>
      </c>
      <c r="V124" s="165">
        <f>IF(AND(AD43="b",V14&lt;&gt;""),mlmx(Tech!AS43,Tech!AN43)-mlmx(Tech!AH43,Tech!AC43),"")</f>
      </c>
      <c r="W124" s="165">
        <f>IF(AND(AD43="b",W14&lt;&gt;""),mlmx(Tech!AT43,Tech!AN43)-mlmx(Tech!AI43,Tech!AC43),"")</f>
      </c>
      <c r="X124" s="165">
        <f>IF(AND(AD43="b",X14&lt;&gt;""),mlmx(Tech!AU43,Tech!AN43)-mlmx(Tech!AJ43,Tech!AC43),"")</f>
      </c>
      <c r="Y124" s="165">
        <f>IF(AND(AD43="b",Y14&lt;&gt;""),mlmx(Tech!AV43,Tech!AN43)-mlmx(Tech!AK43,Tech!AC43),"")</f>
      </c>
      <c r="Z124" s="165">
        <f>IF(AND(AD43="b",Z14&lt;&gt;""),mlmx(Tech!AW43,Tech!AN43)-mlmx(Tech!AL43,Tech!AC43),"")</f>
      </c>
      <c r="AD124" s="22"/>
      <c r="AE124" s="57"/>
    </row>
    <row r="125" spans="14:31" ht="12.75">
      <c r="N125" s="166"/>
      <c r="O125" s="167" t="s">
        <v>103</v>
      </c>
      <c r="P125" s="165">
        <f>IF(AD43="c",mabs(Q125,R125,S125,T125,U125,V125,W125,X125,Y125,Z125)/COUNT(Q125:Z125),"")</f>
      </c>
      <c r="Q125" s="165">
        <f>IF(AD43="c",mlm1(Tech!BJ43)-mlm1(Tech!AY43),"")</f>
      </c>
      <c r="R125" s="165">
        <f>IF(AD43="c",mlmx(Tech!BK43,Tech!BJ43)-mlmx(Tech!AZ43,Tech!AY43),"")</f>
      </c>
      <c r="S125" s="165">
        <f>IF(AND(AD43="c",S14&lt;&gt;""),mlmx(Tech!BL43,Tech!BJ43)-mlmx(Tech!BA43,Tech!AY43),"")</f>
      </c>
      <c r="T125" s="165">
        <f>IF(AND(AD43="c",T14&lt;&gt;""),mlmx(Tech!BM43,Tech!BJ43)-mlmx(Tech!BB43,Tech!AY43),"")</f>
      </c>
      <c r="U125" s="165">
        <f>IF(AND(AD43="c",U14&lt;&gt;""),mlmx(Tech!BN43,Tech!BJ43)-mlmx(Tech!BC43,Tech!AY43),"")</f>
      </c>
      <c r="V125" s="165">
        <f>IF(AND(AD43="c",V14&lt;&gt;""),mlmx(Tech!BO43,Tech!BJ43)-mlmx(Tech!BD43,Tech!AY43),"")</f>
      </c>
      <c r="W125" s="165">
        <f>IF(AND(AD43="c",W14&lt;&gt;""),mlmx(Tech!BP43,Tech!BJ43)-mlmx(Tech!BE43,Tech!AY43),"")</f>
      </c>
      <c r="X125" s="165">
        <f>IF(AND(AD43="c",X14&lt;&gt;""),mlmx(Tech!BQ43,Tech!BJ43)-mlmx(Tech!BF43,Tech!AY43),"")</f>
      </c>
      <c r="Y125" s="165">
        <f>IF(AND(AD43="c",Y14&lt;&gt;""),mlmx(Tech!BR43,Tech!BJ43)-mlmx(Tech!BG43,Tech!AY43),"")</f>
      </c>
      <c r="Z125" s="165">
        <f>IF(AND(AD43="c",Z14&lt;&gt;""),mlmx(Tech!BS43,Tech!BJ43)-mlmx(Tech!BH43,Tech!AY43),"")</f>
      </c>
      <c r="AD125" s="22"/>
      <c r="AE125" s="57"/>
    </row>
    <row r="126" spans="14:31" ht="12.75">
      <c r="N126" s="166"/>
      <c r="O126" s="167" t="s">
        <v>104</v>
      </c>
      <c r="P126" s="165">
        <f>IF(AD43="c",mabs(Q126,R126,S126,T126,U126,V126,W126,X126,Y126,Z126)/COUNT(Q126:Z126),"")</f>
      </c>
      <c r="Q126" s="165">
        <f>IF(AD43="c",mlm1(Tech!CF43)-mlm1(Tech!BU43),"")</f>
      </c>
      <c r="R126" s="165">
        <f>IF(AD43="c",mlmx(Tech!CG43,Tech!CF43)-mlmx(Tech!BV43,Tech!BU43),"")</f>
      </c>
      <c r="S126" s="165">
        <f>IF(AND(AD43="c",S14&lt;&gt;""),mlmx(Tech!CH43,Tech!CF43)-mlmx(Tech!BW43,Tech!BU43),"")</f>
      </c>
      <c r="T126" s="165">
        <f>IF(AND(AD43="c",T14&lt;&gt;""),mlmx(Tech!CI43,Tech!CF43)-mlmx(Tech!BX43,Tech!BU43),"")</f>
      </c>
      <c r="U126" s="165">
        <f>IF(AND(AD43="c",U14&lt;&gt;""),mlmx(Tech!CJ43,Tech!CF43)-mlmx(Tech!BY43,Tech!BU43),"")</f>
      </c>
      <c r="V126" s="165">
        <f>IF(AND(AD43="c",V14&lt;&gt;""),mlmx(Tech!CK43,Tech!CF43)-mlmx(Tech!BZ43,Tech!BU43),"")</f>
      </c>
      <c r="W126" s="165">
        <f>IF(AND(AD43="c",W14&lt;&gt;""),mlmx(Tech!CL43,Tech!CF43)-mlmx(Tech!CA43,Tech!BU43),"")</f>
      </c>
      <c r="X126" s="165">
        <f>IF(AND(AD43="c",X14&lt;&gt;""),mlmx(Tech!CM43,Tech!CF43)-mlmx(Tech!CB43,Tech!BU43),"")</f>
      </c>
      <c r="Y126" s="165">
        <f>IF(AND(AD43="c",Y14&lt;&gt;""),mlmx(Tech!CN43,Tech!CF43)-mlmx(Tech!CC43,Tech!BU43),"")</f>
      </c>
      <c r="Z126" s="165">
        <f>IF(AND(AD43="c",Z14&lt;&gt;""),mlmx(Tech!CO43,Tech!CF43)-mlmx(Tech!CD43,Tech!BU43),"")</f>
      </c>
      <c r="AD126" s="22"/>
      <c r="AE126" s="57"/>
    </row>
    <row r="127" spans="14:31" ht="12.75">
      <c r="N127" s="166"/>
      <c r="O127" s="167" t="s">
        <v>32</v>
      </c>
      <c r="P127" s="165">
        <f>IF(AD43="c",mabs(Q127,R127,S127,T127,U127,V127,W127,X127,Y127,Z127)/COUNT(Q127:Z127),"")</f>
      </c>
      <c r="Q127" s="165">
        <f>IF(AD43="c",mlm1(Tech!DB43)-mlm1(Tech!CQ43),"")</f>
      </c>
      <c r="R127" s="165">
        <f>IF(AD43="c",mlmx(Tech!DC43,Tech!DB43)-mlmx(Tech!CR43,Tech!CQ43),"")</f>
      </c>
      <c r="S127" s="165">
        <f>IF(AND(AD43="c",S14&lt;&gt;""),mlmx(Tech!DD43,Tech!DB43)-mlmx(Tech!CS43,Tech!CQ43),"")</f>
      </c>
      <c r="T127" s="165">
        <f>IF(AND(AD43="c",T14&lt;&gt;""),mlmx(Tech!DE43,Tech!DB43)-mlmx(Tech!CT43,Tech!CQ43),"")</f>
      </c>
      <c r="U127" s="165">
        <f>IF(AND(AD43="c",U14&lt;&gt;""),mlmx(Tech!DF43,Tech!DB43)-mlmx(Tech!CU43,Tech!CQ43),"")</f>
      </c>
      <c r="V127" s="165">
        <f>IF(AND(AD43="c",V14&lt;&gt;""),mlmx(Tech!DG43,Tech!DB43)-mlmx(Tech!CV43,Tech!CQ43),"")</f>
      </c>
      <c r="W127" s="165">
        <f>IF(AND(AD43="c",W14&lt;&gt;""),mlmx(Tech!DH43,Tech!DB43)-mlmx(Tech!CW43,Tech!CQ43),"")</f>
      </c>
      <c r="X127" s="165">
        <f>IF(AND(AD43="c",X14&lt;&gt;""),mlmx(Tech!DI43,Tech!DB43)-mlmx(Tech!CX43,Tech!CQ43),"")</f>
      </c>
      <c r="Y127" s="165">
        <f>IF(AND(AD43="c",Y14&lt;&gt;""),mlmx(Tech!DJ43,Tech!DB43)-mlmx(Tech!CY43,Tech!CQ43),"")</f>
      </c>
      <c r="Z127" s="165">
        <f>IF(AND(AD43="c",Z14&lt;&gt;""),mlmx(Tech!DK43,Tech!DB43)-mlmx(Tech!CZ43,Tech!CQ43),"")</f>
      </c>
      <c r="AD127" s="22"/>
      <c r="AE127" s="57"/>
    </row>
    <row r="128" spans="14:31" ht="12.75">
      <c r="N128" s="166">
        <f>IF(AB44="","",AB44)</f>
      </c>
      <c r="O128" s="164" t="s">
        <v>31</v>
      </c>
      <c r="P128" s="165">
        <f>IF(AD44="b",mabs(Q128,R128,S128,T128,U128,V128,W128,X128,Y128,Z128)/COUNT(Q128:Z128),"")</f>
      </c>
      <c r="Q128" s="165">
        <f>IF(AD44="b",mlm1(Tech!AN44)-mlm1(Tech!AC44),"")</f>
      </c>
      <c r="R128" s="165">
        <f>IF(AD44="b",mlmx(Tech!AO44,Tech!AN44)-mlmx(Tech!AD44,Tech!AC44),"")</f>
      </c>
      <c r="S128" s="165">
        <f>IF(AND(AD44="b",S14&lt;&gt;""),mlmx(Tech!AP44,Tech!AN44)-mlmx(Tech!AE44,Tech!AC44),"")</f>
      </c>
      <c r="T128" s="165">
        <f>IF(AND(AD44="b",T14&lt;&gt;""),mlmx(Tech!AQ44,Tech!AN44)-mlmx(Tech!AF44,Tech!AC44),"")</f>
      </c>
      <c r="U128" s="165">
        <f>IF(AND(AD44="b",U14&lt;&gt;""),mlmx(Tech!AR44,Tech!AN44)-mlmx(Tech!AG44,Tech!AC44),"")</f>
      </c>
      <c r="V128" s="165">
        <f>IF(AND(AD44="b",V14&lt;&gt;""),mlmx(Tech!AS44,Tech!AN44)-mlmx(Tech!AH44,Tech!AC44),"")</f>
      </c>
      <c r="W128" s="165">
        <f>IF(AND(AD44="b",W14&lt;&gt;""),mlmx(Tech!AT44,Tech!AN44)-mlmx(Tech!AI44,Tech!AC44),"")</f>
      </c>
      <c r="X128" s="165">
        <f>IF(AND(AD44="b",X14&lt;&gt;""),mlmx(Tech!AU44,Tech!AN44)-mlmx(Tech!AJ44,Tech!AC44),"")</f>
      </c>
      <c r="Y128" s="165">
        <f>IF(AND(AD44="b",Y14&lt;&gt;""),mlmx(Tech!AV44,Tech!AN44)-mlmx(Tech!AK44,Tech!AC44),"")</f>
      </c>
      <c r="Z128" s="165">
        <f>IF(AND(AD44="b",Z14&lt;&gt;""),mlmx(Tech!AW44,Tech!AN44)-mlmx(Tech!AL44,Tech!AC44),"")</f>
      </c>
      <c r="AD128" s="22"/>
      <c r="AE128" s="57"/>
    </row>
    <row r="129" spans="14:31" ht="12.75">
      <c r="N129" s="166"/>
      <c r="O129" s="167" t="s">
        <v>103</v>
      </c>
      <c r="P129" s="165">
        <f>IF(AD44="c",mabs(Q129,R129,S129,T129,U129,V129,W129,X129,Y129,Z129)/COUNT(Q129:Z129),"")</f>
      </c>
      <c r="Q129" s="165">
        <f>IF(AD44="c",mlm1(Tech!BJ44)-mlm1(Tech!AY44),"")</f>
      </c>
      <c r="R129" s="165">
        <f>IF(AD44="c",mlmx(Tech!BK44,Tech!BJ44)-mlmx(Tech!AZ44,Tech!AY44),"")</f>
      </c>
      <c r="S129" s="165">
        <f>IF(AND(AD44="c",S14&lt;&gt;""),mlmx(Tech!BL44,Tech!BJ44)-mlmx(Tech!BA44,Tech!AY44),"")</f>
      </c>
      <c r="T129" s="165">
        <f>IF(AND(AD44="c",T14&lt;&gt;""),mlmx(Tech!BM44,Tech!BJ44)-mlmx(Tech!BB44,Tech!AY44),"")</f>
      </c>
      <c r="U129" s="165">
        <f>IF(AND(AD44="c",U14&lt;&gt;""),mlmx(Tech!BN44,Tech!BJ44)-mlmx(Tech!BC44,Tech!AY44),"")</f>
      </c>
      <c r="V129" s="165">
        <f>IF(AND(AD44="c",V14&lt;&gt;""),mlmx(Tech!BO44,Tech!BJ44)-mlmx(Tech!BD44,Tech!AY44),"")</f>
      </c>
      <c r="W129" s="165">
        <f>IF(AND(AD44="c",W14&lt;&gt;""),mlmx(Tech!BP44,Tech!BJ44)-mlmx(Tech!BE44,Tech!AY44),"")</f>
      </c>
      <c r="X129" s="165">
        <f>IF(AND(AD44="c",X14&lt;&gt;""),mlmx(Tech!BQ44,Tech!BJ44)-mlmx(Tech!BF44,Tech!AY44),"")</f>
      </c>
      <c r="Y129" s="165">
        <f>IF(AND(AD44="c",Y14&lt;&gt;""),mlmx(Tech!BR44,Tech!BJ44)-mlmx(Tech!BG44,Tech!AY44),"")</f>
      </c>
      <c r="Z129" s="165">
        <f>IF(AND(AD44="c",Z14&lt;&gt;""),mlmx(Tech!BS44,Tech!BJ44)-mlmx(Tech!BH44,Tech!AY44),"")</f>
      </c>
      <c r="AD129" s="22"/>
      <c r="AE129" s="57"/>
    </row>
    <row r="130" spans="14:31" ht="12.75">
      <c r="N130" s="166"/>
      <c r="O130" s="167" t="s">
        <v>104</v>
      </c>
      <c r="P130" s="165">
        <f>IF(AD44="c",mabs(Q130,R130,S130,T130,U130,V130,W130,X130,Y130,Z130)/COUNT(Q130:Z130),"")</f>
      </c>
      <c r="Q130" s="165">
        <f>IF(AD44="c",mlm1(Tech!CF44)-mlm1(Tech!BU44),"")</f>
      </c>
      <c r="R130" s="165">
        <f>IF(AD44="c",mlmx(Tech!CG44,Tech!CF44)-mlmx(Tech!BV44,Tech!BU44),"")</f>
      </c>
      <c r="S130" s="165">
        <f>IF(AND(AD44="c",S14&lt;&gt;""),mlmx(Tech!CH44,Tech!CF44)-mlmx(Tech!BW44,Tech!BU44),"")</f>
      </c>
      <c r="T130" s="165">
        <f>IF(AND(AD44="c",T14&lt;&gt;""),mlmx(Tech!CI44,Tech!CF44)-mlmx(Tech!BX44,Tech!BU44),"")</f>
      </c>
      <c r="U130" s="165">
        <f>IF(AND(AD44="c",U14&lt;&gt;""),mlmx(Tech!CJ44,Tech!CF44)-mlmx(Tech!BY44,Tech!BU44),"")</f>
      </c>
      <c r="V130" s="165">
        <f>IF(AND(AD44="c",V14&lt;&gt;""),mlmx(Tech!CK44,Tech!CF44)-mlmx(Tech!BZ44,Tech!BU44),"")</f>
      </c>
      <c r="W130" s="165">
        <f>IF(AND(AD44="c",W14&lt;&gt;""),mlmx(Tech!CL44,Tech!CF44)-mlmx(Tech!CA44,Tech!BU44),"")</f>
      </c>
      <c r="X130" s="165">
        <f>IF(AND(AD44="c",X14&lt;&gt;""),mlmx(Tech!CM44,Tech!CF44)-mlmx(Tech!CB44,Tech!BU44),"")</f>
      </c>
      <c r="Y130" s="165">
        <f>IF(AND(AD44="c",Y14&lt;&gt;""),mlmx(Tech!CN44,Tech!CF44)-mlmx(Tech!CC44,Tech!BU44),"")</f>
      </c>
      <c r="Z130" s="165">
        <f>IF(AND(AD44="c",Z14&lt;&gt;""),mlmx(Tech!CO44,Tech!CF44)-mlmx(Tech!CD44,Tech!BU44),"")</f>
      </c>
      <c r="AD130" s="22"/>
      <c r="AE130" s="57"/>
    </row>
    <row r="131" spans="14:31" ht="12.75">
      <c r="N131" s="166"/>
      <c r="O131" s="167" t="s">
        <v>32</v>
      </c>
      <c r="P131" s="165">
        <f>IF(AD44="c",mabs(Q131,R131,S131,T131,U131,V131,W131,X131,Y131,Z131)/COUNT(Q131:Z131),"")</f>
      </c>
      <c r="Q131" s="165">
        <f>IF(AD44="c",mlm1(Tech!DB44)-mlm1(Tech!CQ44),"")</f>
      </c>
      <c r="R131" s="165">
        <f>IF(AD44="c",mlmx(Tech!DC44,Tech!DB44)-mlmx(Tech!CR44,Tech!CQ44),"")</f>
      </c>
      <c r="S131" s="165">
        <f>IF(AND(AD44="c",S14&lt;&gt;""),mlmx(Tech!DD44,Tech!DB44)-mlmx(Tech!CS44,Tech!CQ44),"")</f>
      </c>
      <c r="T131" s="165">
        <f>IF(AND(AD44="c",T14&lt;&gt;""),mlmx(Tech!DE44,Tech!DB44)-mlmx(Tech!CT44,Tech!CQ44),"")</f>
      </c>
      <c r="U131" s="165">
        <f>IF(AND(AD44="c",U14&lt;&gt;""),mlmx(Tech!DF44,Tech!DB44)-mlmx(Tech!CU44,Tech!CQ44),"")</f>
      </c>
      <c r="V131" s="165">
        <f>IF(AND(AD44="c",V14&lt;&gt;""),mlmx(Tech!DG44,Tech!DB44)-mlmx(Tech!CV44,Tech!CQ44),"")</f>
      </c>
      <c r="W131" s="165">
        <f>IF(AND(AD44="c",W14&lt;&gt;""),mlmx(Tech!DH44,Tech!DB44)-mlmx(Tech!CW44,Tech!CQ44),"")</f>
      </c>
      <c r="X131" s="165">
        <f>IF(AND(AD44="c",X14&lt;&gt;""),mlmx(Tech!DI44,Tech!DB44)-mlmx(Tech!CX44,Tech!CQ44),"")</f>
      </c>
      <c r="Y131" s="165">
        <f>IF(AND(AD44="c",Y14&lt;&gt;""),mlmx(Tech!DJ44,Tech!DB44)-mlmx(Tech!CY44,Tech!CQ44),"")</f>
      </c>
      <c r="Z131" s="165">
        <f>IF(AND(AD44="c",Z14&lt;&gt;""),mlmx(Tech!DK44,Tech!DB44)-mlmx(Tech!CZ44,Tech!CQ44),"")</f>
      </c>
      <c r="AD131" s="22"/>
      <c r="AE131" s="57"/>
    </row>
    <row r="132" spans="14:31" ht="12.75">
      <c r="N132" s="166">
        <f>IF(AB45="","",AB45)</f>
      </c>
      <c r="O132" s="164" t="s">
        <v>31</v>
      </c>
      <c r="P132" s="165">
        <f>IF(AD45="b",mabs(Q132,R132,S132,T132,U132,V132,W132,X132,Y132,Z132)/COUNT(Q132:Z132),"")</f>
      </c>
      <c r="Q132" s="165">
        <f>IF(AD45="b",mlm1(Tech!AN45)-mlm1(Tech!AC45),"")</f>
      </c>
      <c r="R132" s="165">
        <f>IF(AD45="b",mlmx(Tech!AO45,Tech!AN45)-mlmx(Tech!AD45,Tech!AC45),"")</f>
      </c>
      <c r="S132" s="165">
        <f>IF(AND(AD45="b",S14&lt;&gt;""),mlmx(Tech!AP45,Tech!AN45)-mlmx(Tech!AE45,Tech!AC45),"")</f>
      </c>
      <c r="T132" s="165">
        <f>IF(AND(AD45="b",T14&lt;&gt;""),mlmx(Tech!AQ45,Tech!AN45)-mlmx(Tech!AF45,Tech!AC45),"")</f>
      </c>
      <c r="U132" s="165">
        <f>IF(AND(AD45="b",U14&lt;&gt;""),mlmx(Tech!AR45,Tech!AN45)-mlmx(Tech!AG45,Tech!AC45),"")</f>
      </c>
      <c r="V132" s="165">
        <f>IF(AND(AD45="b",V14&lt;&gt;""),mlmx(Tech!AS45,Tech!AN45)-mlmx(Tech!AH45,Tech!AC45),"")</f>
      </c>
      <c r="W132" s="165">
        <f>IF(AND(AD45="b",W14&lt;&gt;""),mlmx(Tech!AT45,Tech!AN45)-mlmx(Tech!AI45,Tech!AC45),"")</f>
      </c>
      <c r="X132" s="165">
        <f>IF(AND(AD45="b",X14&lt;&gt;""),mlmx(Tech!AU45,Tech!AN45)-mlmx(Tech!AJ45,Tech!AC45),"")</f>
      </c>
      <c r="Y132" s="165">
        <f>IF(AND(AD45="b",Y14&lt;&gt;""),mlmx(Tech!AV45,Tech!AN45)-mlmx(Tech!AK45,Tech!AC45),"")</f>
      </c>
      <c r="Z132" s="165">
        <f>IF(AND(AD45="b",Z14&lt;&gt;""),mlmx(Tech!AW45,Tech!AN45)-mlmx(Tech!AL45,Tech!AC45),"")</f>
      </c>
      <c r="AD132" s="22"/>
      <c r="AE132" s="57"/>
    </row>
    <row r="133" spans="14:31" ht="12.75">
      <c r="N133" s="166"/>
      <c r="O133" s="167" t="s">
        <v>103</v>
      </c>
      <c r="P133" s="165">
        <f>IF(AD45="c",mabs(Q133,R133,S133,T133,U133,V133,W133,X133,Y133,Z133)/COUNT(Q133:Z133),"")</f>
      </c>
      <c r="Q133" s="165">
        <f>IF(AD45="c",mlm1(Tech!BJ45)-mlm1(Tech!AY45),"")</f>
      </c>
      <c r="R133" s="165">
        <f>IF(AD45="c",mlmx(Tech!BK45,Tech!BJ45)-mlmx(Tech!AZ45,Tech!AY45),"")</f>
      </c>
      <c r="S133" s="165">
        <f>IF(AND(AD45="c",S14&lt;&gt;""),mlmx(Tech!BL45,Tech!BJ45)-mlmx(Tech!BA45,Tech!AY45),"")</f>
      </c>
      <c r="T133" s="165">
        <f>IF(AND(AD45="c",T14&lt;&gt;""),mlmx(Tech!BM45,Tech!BJ45)-mlmx(Tech!BB45,Tech!AY45),"")</f>
      </c>
      <c r="U133" s="165">
        <f>IF(AND(AD45="c",U14&lt;&gt;""),mlmx(Tech!BN45,Tech!BJ45)-mlmx(Tech!BC45,Tech!AY45),"")</f>
      </c>
      <c r="V133" s="165">
        <f>IF(AND(AD45="c",V14&lt;&gt;""),mlmx(Tech!BO45,Tech!BJ45)-mlmx(Tech!BD45,Tech!AY45),"")</f>
      </c>
      <c r="W133" s="165">
        <f>IF(AND(AD45="c",W14&lt;&gt;""),mlmx(Tech!BP45,Tech!BJ45)-mlmx(Tech!BE45,Tech!AY45),"")</f>
      </c>
      <c r="X133" s="165">
        <f>IF(AND(AD45="c",X14&lt;&gt;""),mlmx(Tech!BQ45,Tech!BJ45)-mlmx(Tech!BF45,Tech!AY45),"")</f>
      </c>
      <c r="Y133" s="165">
        <f>IF(AND(AD45="c",Y14&lt;&gt;""),mlmx(Tech!BR45,Tech!BJ45)-mlmx(Tech!BG45,Tech!AY45),"")</f>
      </c>
      <c r="Z133" s="165">
        <f>IF(AND(AD45="c",Z14&lt;&gt;""),mlmx(Tech!BS45,Tech!BJ45)-mlmx(Tech!BH45,Tech!AY45),"")</f>
      </c>
      <c r="AD133" s="22"/>
      <c r="AE133" s="57"/>
    </row>
    <row r="134" spans="14:31" ht="12.75">
      <c r="N134" s="166"/>
      <c r="O134" s="167" t="s">
        <v>104</v>
      </c>
      <c r="P134" s="165">
        <f>IF(AD45="c",mabs(Q134,R134,S134,T134,U134,V134,W134,X134,Y134,Z134)/COUNT(Q134:Z134),"")</f>
      </c>
      <c r="Q134" s="165">
        <f>IF(AD45="c",mlm1(Tech!CF45)-mlm1(Tech!BU45),"")</f>
      </c>
      <c r="R134" s="165">
        <f>IF(AD45="c",mlmx(Tech!CG45,Tech!CF45)-mlmx(Tech!BV45,Tech!BU45),"")</f>
      </c>
      <c r="S134" s="165">
        <f>IF(AND(AD45="c",S14&lt;&gt;""),mlmx(Tech!CH45,Tech!CF45)-mlmx(Tech!BW45,Tech!BU45),"")</f>
      </c>
      <c r="T134" s="165">
        <f>IF(AND(AD45="c",T14&lt;&gt;""),mlmx(Tech!CI45,Tech!CF45)-mlmx(Tech!BX45,Tech!BU45),"")</f>
      </c>
      <c r="U134" s="165">
        <f>IF(AND(AD45="c",U14&lt;&gt;""),mlmx(Tech!CJ45,Tech!CF45)-mlmx(Tech!BY45,Tech!BU45),"")</f>
      </c>
      <c r="V134" s="165">
        <f>IF(AND(AD45="c",V14&lt;&gt;""),mlmx(Tech!CK45,Tech!CF45)-mlmx(Tech!BZ45,Tech!BU45),"")</f>
      </c>
      <c r="W134" s="165">
        <f>IF(AND(AD45="c",W14&lt;&gt;""),mlmx(Tech!CL45,Tech!CF45)-mlmx(Tech!CA45,Tech!BU45),"")</f>
      </c>
      <c r="X134" s="165">
        <f>IF(AND(AD45="c",X14&lt;&gt;""),mlmx(Tech!CM45,Tech!CF45)-mlmx(Tech!CB45,Tech!BU45),"")</f>
      </c>
      <c r="Y134" s="165">
        <f>IF(AND(AD45="c",Y14&lt;&gt;""),mlmx(Tech!CN45,Tech!CF45)-mlmx(Tech!CC45,Tech!BU45),"")</f>
      </c>
      <c r="Z134" s="165">
        <f>IF(AND(AD45="c",Z14&lt;&gt;""),mlmx(Tech!CO45,Tech!CF45)-mlmx(Tech!CD45,Tech!BU45),"")</f>
      </c>
      <c r="AD134" s="22"/>
      <c r="AE134" s="57"/>
    </row>
    <row r="135" spans="14:31" ht="12.75">
      <c r="N135" s="166"/>
      <c r="O135" s="167" t="s">
        <v>32</v>
      </c>
      <c r="P135" s="165">
        <f>IF(AD45="c",mabs(Q135,R135,S135,T135,U135,V135,W135,X135,Y135,Z135)/COUNT(Q135:Z135),"")</f>
      </c>
      <c r="Q135" s="165">
        <f>IF(AD45="c",mlm1(Tech!DB45)-mlm1(Tech!CQ45),"")</f>
      </c>
      <c r="R135" s="165">
        <f>IF(AD45="c",mlmx(Tech!DC45,Tech!DB45)-mlmx(Tech!CR45,Tech!CQ45),"")</f>
      </c>
      <c r="S135" s="165">
        <f>IF(AND(AD45="c",S14&lt;&gt;""),mlmx(Tech!DD45,Tech!DB45)-mlmx(Tech!CS45,Tech!CQ45),"")</f>
      </c>
      <c r="T135" s="165">
        <f>IF(AND(AD45="c",T14&lt;&gt;""),mlmx(Tech!DE45,Tech!DB45)-mlmx(Tech!CT45,Tech!CQ45),"")</f>
      </c>
      <c r="U135" s="165">
        <f>IF(AND(AD45="c",U14&lt;&gt;""),mlmx(Tech!DF45,Tech!DB45)-mlmx(Tech!CU45,Tech!CQ45),"")</f>
      </c>
      <c r="V135" s="165">
        <f>IF(AND(AD45="c",V14&lt;&gt;""),mlmx(Tech!DG45,Tech!DB45)-mlmx(Tech!CV45,Tech!CQ45),"")</f>
      </c>
      <c r="W135" s="165">
        <f>IF(AND(AD45="c",W14&lt;&gt;""),mlmx(Tech!DH45,Tech!DB45)-mlmx(Tech!CW45,Tech!CQ45),"")</f>
      </c>
      <c r="X135" s="165">
        <f>IF(AND(AD45="c",X14&lt;&gt;""),mlmx(Tech!DI45,Tech!DB45)-mlmx(Tech!CX45,Tech!CQ45),"")</f>
      </c>
      <c r="Y135" s="165">
        <f>IF(AND(AD45="c",Y14&lt;&gt;""),mlmx(Tech!DJ45,Tech!DB45)-mlmx(Tech!CY45,Tech!CQ45),"")</f>
      </c>
      <c r="Z135" s="165">
        <f>IF(AND(AD45="c",Z14&lt;&gt;""),mlmx(Tech!DK45,Tech!DB45)-mlmx(Tech!CZ45,Tech!CQ45),"")</f>
      </c>
      <c r="AD135" s="22"/>
      <c r="AE135" s="57"/>
    </row>
    <row r="136" spans="14:31" ht="12.75">
      <c r="N136" s="166">
        <f>IF(AB46="","",AB46)</f>
      </c>
      <c r="O136" s="164" t="s">
        <v>31</v>
      </c>
      <c r="P136" s="165">
        <f>IF(AD46="b",mabs(Q136,R136,S136,T136,U136,V136,W136,X136,Y136,Z136)/COUNT(Q136:Z136),"")</f>
      </c>
      <c r="Q136" s="165">
        <f>IF(AD46="b",mlm1(Tech!AN46)-mlm1(Tech!AC46),"")</f>
      </c>
      <c r="R136" s="165">
        <f>IF(AD46="b",mlmx(Tech!AO46,Tech!AN46)-mlmx(Tech!AD46,Tech!AC46),"")</f>
      </c>
      <c r="S136" s="165">
        <f>IF(AND(AD46="b",S14&lt;&gt;""),mlmx(Tech!AP46,Tech!AN46)-mlmx(Tech!AE46,Tech!AC46),"")</f>
      </c>
      <c r="T136" s="165">
        <f>IF(AND(AD46="b",T14&lt;&gt;""),mlmx(Tech!AQ46,Tech!AN46)-mlmx(Tech!AF46,Tech!AC46),"")</f>
      </c>
      <c r="U136" s="165">
        <f>IF(AND(AD46="b",U14&lt;&gt;""),mlmx(Tech!AR46,Tech!AN46)-mlmx(Tech!AG46,Tech!AC46),"")</f>
      </c>
      <c r="V136" s="165">
        <f>IF(AND(AD46="b",V14&lt;&gt;""),mlmx(Tech!AS46,Tech!AN46)-mlmx(Tech!AH46,Tech!AC46),"")</f>
      </c>
      <c r="W136" s="165">
        <f>IF(AND(AD46="b",W14&lt;&gt;""),mlmx(Tech!AT46,Tech!AN46)-mlmx(Tech!AI46,Tech!AC46),"")</f>
      </c>
      <c r="X136" s="165">
        <f>IF(AND(AD46="b",X14&lt;&gt;""),mlmx(Tech!AU46,Tech!AN46)-mlmx(Tech!AJ46,Tech!AC46),"")</f>
      </c>
      <c r="Y136" s="165">
        <f>IF(AND(AD46="b",Y14&lt;&gt;""),mlmx(Tech!AV46,Tech!AN46)-mlmx(Tech!AK46,Tech!AC46),"")</f>
      </c>
      <c r="Z136" s="165">
        <f>IF(AND(AD46="b",Z14&lt;&gt;""),mlmx(Tech!AW46,Tech!AN46)-mlmx(Tech!AL46,Tech!AC46),"")</f>
      </c>
      <c r="AD136" s="22"/>
      <c r="AE136" s="57"/>
    </row>
    <row r="137" spans="14:31" ht="12.75">
      <c r="N137" s="166"/>
      <c r="O137" s="167" t="s">
        <v>103</v>
      </c>
      <c r="P137" s="165">
        <f>IF(AD46="c",mabs(Q137,R137,S137,T137,U137,V137,W137,X137,Y137,Z137)/COUNT(Q137:Z137),"")</f>
      </c>
      <c r="Q137" s="165">
        <f>IF(AD46="c",mlm1(Tech!BJ46)-mlm1(Tech!AY46),"")</f>
      </c>
      <c r="R137" s="165">
        <f>IF(AD46="c",mlmx(Tech!BK46,Tech!BJ46)-mlmx(Tech!AZ46,Tech!AY46),"")</f>
      </c>
      <c r="S137" s="165">
        <f>IF(AND(AD46="c",S14&lt;&gt;""),mlmx(Tech!BL46,Tech!BJ46)-mlmx(Tech!BA46,Tech!AY46),"")</f>
      </c>
      <c r="T137" s="165">
        <f>IF(AND(AD46="c",T14&lt;&gt;""),mlmx(Tech!BM46,Tech!BJ46)-mlmx(Tech!BB46,Tech!AY46),"")</f>
      </c>
      <c r="U137" s="165">
        <f>IF(AND(AD46="c",U14&lt;&gt;""),mlmx(Tech!BN46,Tech!BJ46)-mlmx(Tech!BC46,Tech!AY46),"")</f>
      </c>
      <c r="V137" s="165">
        <f>IF(AND(AD46="c",V14&lt;&gt;""),mlmx(Tech!BO46,Tech!BJ46)-mlmx(Tech!BD46,Tech!AY46),"")</f>
      </c>
      <c r="W137" s="165">
        <f>IF(AND(AD46="c",W14&lt;&gt;""),mlmx(Tech!BP46,Tech!BJ46)-mlmx(Tech!BE46,Tech!AY46),"")</f>
      </c>
      <c r="X137" s="165">
        <f>IF(AND(AD46="c",X14&lt;&gt;""),mlmx(Tech!BQ46,Tech!BJ46)-mlmx(Tech!BF46,Tech!AY46),"")</f>
      </c>
      <c r="Y137" s="165">
        <f>IF(AND(AD46="c",Y14&lt;&gt;""),mlmx(Tech!BR46,Tech!BJ46)-mlmx(Tech!BG46,Tech!AY46),"")</f>
      </c>
      <c r="Z137" s="165">
        <f>IF(AND(AD46="c",Z14&lt;&gt;""),mlmx(Tech!BS46,Tech!BJ46)-mlmx(Tech!BH46,Tech!AY46),"")</f>
      </c>
      <c r="AD137" s="22"/>
      <c r="AE137" s="57"/>
    </row>
    <row r="138" spans="14:31" ht="12.75">
      <c r="N138" s="166"/>
      <c r="O138" s="167" t="s">
        <v>104</v>
      </c>
      <c r="P138" s="165">
        <f>IF(AD46="c",mabs(Q138,R138,S138,T138,U138,V138,W138,X138,Y138,Z138)/COUNT(Q138:Z138),"")</f>
      </c>
      <c r="Q138" s="165">
        <f>IF(AD46="c",mlm1(Tech!CF46)-mlm1(Tech!BU46),"")</f>
      </c>
      <c r="R138" s="165">
        <f>IF(AD46="c",mlmx(Tech!CG46,Tech!CF46)-mlmx(Tech!BV46,Tech!BU46),"")</f>
      </c>
      <c r="S138" s="165">
        <f>IF(AND(AD46="c",S14&lt;&gt;""),mlmx(Tech!CH46,Tech!CF46)-mlmx(Tech!BW46,Tech!BU46),"")</f>
      </c>
      <c r="T138" s="165">
        <f>IF(AND(AD46="c",T14&lt;&gt;""),mlmx(Tech!CI46,Tech!CF46)-mlmx(Tech!BX46,Tech!BU46),"")</f>
      </c>
      <c r="U138" s="165">
        <f>IF(AND(AD46="c",U14&lt;&gt;""),mlmx(Tech!CJ46,Tech!CF46)-mlmx(Tech!BY46,Tech!BU46),"")</f>
      </c>
      <c r="V138" s="165">
        <f>IF(AND(AD46="c",V14&lt;&gt;""),mlmx(Tech!CK46,Tech!CF46)-mlmx(Tech!BZ46,Tech!BU46),"")</f>
      </c>
      <c r="W138" s="165">
        <f>IF(AND(AD46="c",W14&lt;&gt;""),mlmx(Tech!CL46,Tech!CF46)-mlmx(Tech!CA46,Tech!BU46),"")</f>
      </c>
      <c r="X138" s="165">
        <f>IF(AND(AD46="c",X14&lt;&gt;""),mlmx(Tech!CM46,Tech!CF46)-mlmx(Tech!CB46,Tech!BU46),"")</f>
      </c>
      <c r="Y138" s="165">
        <f>IF(AND(AD46="c",Y14&lt;&gt;""),mlmx(Tech!CN46,Tech!CF46)-mlmx(Tech!CC46,Tech!BU46),"")</f>
      </c>
      <c r="Z138" s="165">
        <f>IF(AND(AD46="c",Z14&lt;&gt;""),mlmx(Tech!CO46,Tech!CF46)-mlmx(Tech!CD46,Tech!BU46),"")</f>
      </c>
      <c r="AD138" s="22"/>
      <c r="AE138" s="57"/>
    </row>
    <row r="139" spans="14:31" ht="12.75">
      <c r="N139" s="166"/>
      <c r="O139" s="167" t="s">
        <v>32</v>
      </c>
      <c r="P139" s="165">
        <f>IF(AD46="c",mabs(Q139,R139,S139,T139,U139,V139,W139,X139,Y139,Z139)/COUNT(Q139:Z139),"")</f>
      </c>
      <c r="Q139" s="165">
        <f>IF(AD46="c",mlm1(Tech!DB46)-mlm1(Tech!CQ46),"")</f>
      </c>
      <c r="R139" s="165">
        <f>IF(AD46="c",mlmx(Tech!DC46,Tech!DB46)-mlmx(Tech!CR46,Tech!CQ46),"")</f>
      </c>
      <c r="S139" s="165">
        <f>IF(AND(AD46="c",S14&lt;&gt;""),mlmx(Tech!DD46,Tech!DB46)-mlmx(Tech!CS46,Tech!CQ46),"")</f>
      </c>
      <c r="T139" s="165">
        <f>IF(AND(AD46="c",T14&lt;&gt;""),mlmx(Tech!DE46,Tech!DB46)-mlmx(Tech!CT46,Tech!CQ46),"")</f>
      </c>
      <c r="U139" s="165">
        <f>IF(AND(AD46="c",U14&lt;&gt;""),mlmx(Tech!DF46,Tech!DB46)-mlmx(Tech!CU46,Tech!CQ46),"")</f>
      </c>
      <c r="V139" s="165">
        <f>IF(AND(AD46="c",V14&lt;&gt;""),mlmx(Tech!DG46,Tech!DB46)-mlmx(Tech!CV46,Tech!CQ46),"")</f>
      </c>
      <c r="W139" s="165">
        <f>IF(AND(AD46="c",W14&lt;&gt;""),mlmx(Tech!DH46,Tech!DB46)-mlmx(Tech!CW46,Tech!CQ46),"")</f>
      </c>
      <c r="X139" s="165">
        <f>IF(AND(AD46="c",X14&lt;&gt;""),mlmx(Tech!DI46,Tech!DB46)-mlmx(Tech!CX46,Tech!CQ46),"")</f>
      </c>
      <c r="Y139" s="165">
        <f>IF(AND(AD46="c",Y14&lt;&gt;""),mlmx(Tech!DJ46,Tech!DB46)-mlmx(Tech!CY46,Tech!CQ46),"")</f>
      </c>
      <c r="Z139" s="165">
        <f>IF(AND(AD46="c",Z14&lt;&gt;""),mlmx(Tech!DK46,Tech!DB46)-mlmx(Tech!CZ46,Tech!CQ46),"")</f>
      </c>
      <c r="AD139" s="22"/>
      <c r="AE139" s="57"/>
    </row>
    <row r="140" spans="14:31" ht="12.75">
      <c r="N140" s="166">
        <f>IF(AB47="","",AB47)</f>
      </c>
      <c r="O140" s="164" t="s">
        <v>31</v>
      </c>
      <c r="P140" s="165">
        <f>IF(AD47="b",mabs(Q140,R140,S140,T140,U140,V140,W140,X140,Y140,Z140)/COUNT(Q140:Z140),"")</f>
      </c>
      <c r="Q140" s="165">
        <f>IF(AD47="b",mlm1(Tech!AN47)-mlm1(Tech!AC47),"")</f>
      </c>
      <c r="R140" s="165">
        <f>IF(AD47="b",mlmx(Tech!AO47,Tech!AN47)-mlmx(Tech!AD47,Tech!AC47),"")</f>
      </c>
      <c r="S140" s="165">
        <f>IF(AND(AD47="b",S14&lt;&gt;""),mlmx(Tech!AP47,Tech!AN47)-mlmx(Tech!AE47,Tech!AC47),"")</f>
      </c>
      <c r="T140" s="165">
        <f>IF(AND(AD47="b",T14&lt;&gt;""),mlmx(Tech!AQ47,Tech!AN47)-mlmx(Tech!AF47,Tech!AC47),"")</f>
      </c>
      <c r="U140" s="165">
        <f>IF(AND(AD47="b",U14&lt;&gt;""),mlmx(Tech!AR47,Tech!AN47)-mlmx(Tech!AG47,Tech!AC47),"")</f>
      </c>
      <c r="V140" s="165">
        <f>IF(AND(AD47="b",V14&lt;&gt;""),mlmx(Tech!AS47,Tech!AN47)-mlmx(Tech!AH47,Tech!AC47),"")</f>
      </c>
      <c r="W140" s="165">
        <f>IF(AND(AD47="b",W14&lt;&gt;""),mlmx(Tech!AT47,Tech!AN47)-mlmx(Tech!AI47,Tech!AC47),"")</f>
      </c>
      <c r="X140" s="165">
        <f>IF(AND(AD47="b",X14&lt;&gt;""),mlmx(Tech!AU47,Tech!AN47)-mlmx(Tech!AJ47,Tech!AC47),"")</f>
      </c>
      <c r="Y140" s="165">
        <f>IF(AND(AD47="b",Y14&lt;&gt;""),mlmx(Tech!AV47,Tech!AN47)-mlmx(Tech!AK47,Tech!AC47),"")</f>
      </c>
      <c r="Z140" s="165">
        <f>IF(AND(AD47="b",Z14&lt;&gt;""),mlmx(Tech!AW47,Tech!AN47)-mlmx(Tech!AL47,Tech!AC47),"")</f>
      </c>
      <c r="AD140" s="22"/>
      <c r="AE140" s="57"/>
    </row>
    <row r="141" spans="14:31" ht="12.75">
      <c r="N141" s="166"/>
      <c r="O141" s="167" t="s">
        <v>103</v>
      </c>
      <c r="P141" s="165">
        <f>IF(AD47="c",mabs(Q141,R141,S141,T141,U141,V141,W141,X141,Y141,Z141)/COUNT(Q141:Z141),"")</f>
      </c>
      <c r="Q141" s="165">
        <f>IF(AD47="c",mlm1(Tech!BJ47)-mlm1(Tech!AY47),"")</f>
      </c>
      <c r="R141" s="165">
        <f>IF(AD47="c",mlmx(Tech!BK47,Tech!BJ47)-mlmx(Tech!AZ47,Tech!AY47),"")</f>
      </c>
      <c r="S141" s="165">
        <f>IF(AND(AD47="c",S14&lt;&gt;""),mlmx(Tech!BL47,Tech!BJ47)-mlmx(Tech!BA47,Tech!AY47),"")</f>
      </c>
      <c r="T141" s="165">
        <f>IF(AND(AD47="c",T14&lt;&gt;""),mlmx(Tech!BM47,Tech!BJ47)-mlmx(Tech!BB47,Tech!AY47),"")</f>
      </c>
      <c r="U141" s="165">
        <f>IF(AND(AD47="c",U14&lt;&gt;""),mlmx(Tech!BN47,Tech!BJ47)-mlmx(Tech!BC47,Tech!AY47),"")</f>
      </c>
      <c r="V141" s="165">
        <f>IF(AND(AD47="c",V14&lt;&gt;""),mlmx(Tech!BO47,Tech!BJ47)-mlmx(Tech!BD47,Tech!AY47),"")</f>
      </c>
      <c r="W141" s="165">
        <f>IF(AND(AD47="c",W14&lt;&gt;""),mlmx(Tech!BP47,Tech!BJ47)-mlmx(Tech!BE47,Tech!AY47),"")</f>
      </c>
      <c r="X141" s="165">
        <f>IF(AND(AD47="c",X14&lt;&gt;""),mlmx(Tech!BQ47,Tech!BJ47)-mlmx(Tech!BF47,Tech!AY47),"")</f>
      </c>
      <c r="Y141" s="165">
        <f>IF(AND(AD47="c",Y14&lt;&gt;""),mlmx(Tech!BR47,Tech!BJ47)-mlmx(Tech!BG47,Tech!AY47),"")</f>
      </c>
      <c r="Z141" s="165">
        <f>IF(AND(AD47="c",Z14&lt;&gt;""),mlmx(Tech!BS47,Tech!BJ47)-mlmx(Tech!BH47,Tech!AY47),"")</f>
      </c>
      <c r="AD141" s="22"/>
      <c r="AE141" s="57"/>
    </row>
    <row r="142" spans="14:31" ht="12.75">
      <c r="N142" s="166"/>
      <c r="O142" s="167" t="s">
        <v>104</v>
      </c>
      <c r="P142" s="165">
        <f>IF(AD47="c",mabs(Q142,R142,S142,T142,U142,V142,W142,X142,Y142,Z142)/COUNT(Q142:Z142),"")</f>
      </c>
      <c r="Q142" s="165">
        <f>IF(AD47="c",mlm1(Tech!CF47)-mlm1(Tech!BU47),"")</f>
      </c>
      <c r="R142" s="165">
        <f>IF(AD47="c",mlmx(Tech!CG47,Tech!CF47)-mlmx(Tech!BV47,Tech!BU47),"")</f>
      </c>
      <c r="S142" s="165">
        <f>IF(AND(AD47="c",S14&lt;&gt;""),mlmx(Tech!CH47,Tech!CF47)-mlmx(Tech!BW47,Tech!BU47),"")</f>
      </c>
      <c r="T142" s="165">
        <f>IF(AND(AD47="c",T14&lt;&gt;""),mlmx(Tech!CI47,Tech!CF47)-mlmx(Tech!BX47,Tech!BU47),"")</f>
      </c>
      <c r="U142" s="165">
        <f>IF(AND(AD47="c",U14&lt;&gt;""),mlmx(Tech!CJ47,Tech!CF47)-mlmx(Tech!BY47,Tech!BU47),"")</f>
      </c>
      <c r="V142" s="165">
        <f>IF(AND(AD47="c",V14&lt;&gt;""),mlmx(Tech!CK47,Tech!CF47)-mlmx(Tech!BZ47,Tech!BU47),"")</f>
      </c>
      <c r="W142" s="165">
        <f>IF(AND(AD47="c",W14&lt;&gt;""),mlmx(Tech!CL47,Tech!CF47)-mlmx(Tech!CA47,Tech!BU47),"")</f>
      </c>
      <c r="X142" s="165">
        <f>IF(AND(AD47="c",X14&lt;&gt;""),mlmx(Tech!CM47,Tech!CF47)-mlmx(Tech!CB47,Tech!BU47),"")</f>
      </c>
      <c r="Y142" s="165">
        <f>IF(AND(AD47="c",Y14&lt;&gt;""),mlmx(Tech!CN47,Tech!CF47)-mlmx(Tech!CC47,Tech!BU47),"")</f>
      </c>
      <c r="Z142" s="165">
        <f>IF(AND(AD47="c",Z14&lt;&gt;""),mlmx(Tech!CO47,Tech!CF47)-mlmx(Tech!CD47,Tech!BU47),"")</f>
      </c>
      <c r="AD142" s="22"/>
      <c r="AE142" s="57"/>
    </row>
    <row r="143" spans="14:31" ht="12.75">
      <c r="N143" s="166"/>
      <c r="O143" s="167" t="s">
        <v>32</v>
      </c>
      <c r="P143" s="165">
        <f>IF(AD47="c",mabs(Q143,R143,S143,T143,U143,V143,W143,X143,Y143,Z143)/COUNT(Q143:Z143),"")</f>
      </c>
      <c r="Q143" s="165">
        <f>IF(AD47="c",mlm1(Tech!DB47)-mlm1(Tech!CQ47),"")</f>
      </c>
      <c r="R143" s="165">
        <f>IF(AD47="c",mlmx(Tech!DC47,Tech!DB47)-mlmx(Tech!CR47,Tech!CQ47),"")</f>
      </c>
      <c r="S143" s="165">
        <f>IF(AND(AD47="c",S14&lt;&gt;""),mlmx(Tech!DD47,Tech!DB47)-mlmx(Tech!CS47,Tech!CQ47),"")</f>
      </c>
      <c r="T143" s="165">
        <f>IF(AND(AD47="c",T14&lt;&gt;""),mlmx(Tech!DE47,Tech!DB47)-mlmx(Tech!CT47,Tech!CQ47),"")</f>
      </c>
      <c r="U143" s="165">
        <f>IF(AND(AD47="c",U14&lt;&gt;""),mlmx(Tech!DF47,Tech!DB47)-mlmx(Tech!CU47,Tech!CQ47),"")</f>
      </c>
      <c r="V143" s="165">
        <f>IF(AND(AD47="c",V14&lt;&gt;""),mlmx(Tech!DG47,Tech!DB47)-mlmx(Tech!CV47,Tech!CQ47),"")</f>
      </c>
      <c r="W143" s="165">
        <f>IF(AND(AD47="c",W14&lt;&gt;""),mlmx(Tech!DH47,Tech!DB47)-mlmx(Tech!CW47,Tech!CQ47),"")</f>
      </c>
      <c r="X143" s="165">
        <f>IF(AND(AD47="c",X14&lt;&gt;""),mlmx(Tech!DI47,Tech!DB47)-mlmx(Tech!CX47,Tech!CQ47),"")</f>
      </c>
      <c r="Y143" s="165">
        <f>IF(AND(AD47="c",Y14&lt;&gt;""),mlmx(Tech!DJ47,Tech!DB47)-mlmx(Tech!CY47,Tech!CQ47),"")</f>
      </c>
      <c r="Z143" s="165">
        <f>IF(AND(AD47="c",Z14&lt;&gt;""),mlmx(Tech!DK47,Tech!DB47)-mlmx(Tech!CZ47,Tech!CQ47),"")</f>
      </c>
      <c r="AD143" s="22"/>
      <c r="AE143" s="57"/>
    </row>
    <row r="144" spans="14:31" ht="12.75">
      <c r="N144" s="166">
        <f>IF(AB48="","",AB48)</f>
      </c>
      <c r="O144" s="164" t="s">
        <v>31</v>
      </c>
      <c r="P144" s="165">
        <f>IF(AD48="b",mabs(Q144,R144,S144,T144,U144,V144,W144,X144,Y144,Z144)/COUNT(Q144:Z144),"")</f>
      </c>
      <c r="Q144" s="165">
        <f>IF(AD48="b",mlm1(Tech!AN48)-mlm1(Tech!AC48),"")</f>
      </c>
      <c r="R144" s="165">
        <f>IF(AD48="b",mlmx(Tech!AO48,Tech!AN48)-mlmx(Tech!AD48,Tech!AC48),"")</f>
      </c>
      <c r="S144" s="165">
        <f>IF(AND(AD48="b",S14&lt;&gt;""),mlmx(Tech!AP48,Tech!AN48)-mlmx(Tech!AE48,Tech!AC48),"")</f>
      </c>
      <c r="T144" s="165">
        <f>IF(AND(AD48="b",T14&lt;&gt;""),mlmx(Tech!AQ48,Tech!AN48)-mlmx(Tech!AF48,Tech!AC48),"")</f>
      </c>
      <c r="U144" s="165">
        <f>IF(AND(AD48="b",U14&lt;&gt;""),mlmx(Tech!AR48,Tech!AN48)-mlmx(Tech!AG48,Tech!AC48),"")</f>
      </c>
      <c r="V144" s="165">
        <f>IF(AND(AD48="b",V14&lt;&gt;""),mlmx(Tech!AS48,Tech!AN48)-mlmx(Tech!AH48,Tech!AC48),"")</f>
      </c>
      <c r="W144" s="165">
        <f>IF(AND(AD48="b",W14&lt;&gt;""),mlmx(Tech!AT48,Tech!AN48)-mlmx(Tech!AI48,Tech!AC48),"")</f>
      </c>
      <c r="X144" s="165">
        <f>IF(AND(AD48="b",X14&lt;&gt;""),mlmx(Tech!AU48,Tech!AN48)-mlmx(Tech!AJ48,Tech!AC48),"")</f>
      </c>
      <c r="Y144" s="165">
        <f>IF(AND(AD48="b",Y14&lt;&gt;""),mlmx(Tech!AV48,Tech!AN48)-mlmx(Tech!AK48,Tech!AC48),"")</f>
      </c>
      <c r="Z144" s="165">
        <f>IF(AND(AD48="b",Z14&lt;&gt;""),mlmx(Tech!AW48,Tech!AN48)-mlmx(Tech!AL48,Tech!AC48),"")</f>
      </c>
      <c r="AD144" s="22"/>
      <c r="AE144" s="57"/>
    </row>
    <row r="145" spans="14:31" ht="12.75">
      <c r="N145" s="166"/>
      <c r="O145" s="167" t="s">
        <v>103</v>
      </c>
      <c r="P145" s="165">
        <f>IF(AD48="c",mabs(Q145,R145,S145,T145,U145,V145,W145,X145,Y145,Z145)/COUNT(Q145:Z145),"")</f>
      </c>
      <c r="Q145" s="165">
        <f>IF(AD48="c",mlm1(Tech!BJ48)-mlm1(Tech!AY48),"")</f>
      </c>
      <c r="R145" s="165">
        <f>IF(AD48="c",mlmx(Tech!BK48,Tech!BJ48)-mlmx(Tech!AZ48,Tech!AY48),"")</f>
      </c>
      <c r="S145" s="165">
        <f>IF(AND(AD48="c",S14&lt;&gt;""),mlmx(Tech!BL48,Tech!BJ48)-mlmx(Tech!BA48,Tech!AY48),"")</f>
      </c>
      <c r="T145" s="165">
        <f>IF(AND(AD48="c",T14&lt;&gt;""),mlmx(Tech!BM48,Tech!BJ48)-mlmx(Tech!BB48,Tech!AY48),"")</f>
      </c>
      <c r="U145" s="165">
        <f>IF(AND(AD48="c",U14&lt;&gt;""),mlmx(Tech!BN48,Tech!BJ48)-mlmx(Tech!BC48,Tech!AY48),"")</f>
      </c>
      <c r="V145" s="165">
        <f>IF(AND(AD48="c",V14&lt;&gt;""),mlmx(Tech!BO48,Tech!BJ48)-mlmx(Tech!BD48,Tech!AY48),"")</f>
      </c>
      <c r="W145" s="165">
        <f>IF(AND(AD48="c",W14&lt;&gt;""),mlmx(Tech!BP48,Tech!BJ48)-mlmx(Tech!BE48,Tech!AY48),"")</f>
      </c>
      <c r="X145" s="165">
        <f>IF(AND(AD48="c",X14&lt;&gt;""),mlmx(Tech!BQ48,Tech!BJ48)-mlmx(Tech!BF48,Tech!AY48),"")</f>
      </c>
      <c r="Y145" s="165">
        <f>IF(AND(AD48="c",Y14&lt;&gt;""),mlmx(Tech!BR48,Tech!BJ48)-mlmx(Tech!BG48,Tech!AY48),"")</f>
      </c>
      <c r="Z145" s="165">
        <f>IF(AND(AD48="c",Z14&lt;&gt;""),mlmx(Tech!BS48,Tech!BJ48)-mlmx(Tech!BH48,Tech!AY48),"")</f>
      </c>
      <c r="AD145" s="22"/>
      <c r="AE145" s="57"/>
    </row>
    <row r="146" spans="14:31" ht="12.75">
      <c r="N146" s="166"/>
      <c r="O146" s="167" t="s">
        <v>104</v>
      </c>
      <c r="P146" s="165">
        <f>IF(AD48="c",mabs(Q146,R146,S146,T146,U146,V146,W146,X146,Y146,Z146)/COUNT(Q146:Z146),"")</f>
      </c>
      <c r="Q146" s="165">
        <f>IF(AD48="c",mlm1(Tech!CF48)-mlm1(Tech!BU48),"")</f>
      </c>
      <c r="R146" s="165">
        <f>IF(AD48="c",mlmx(Tech!CG48,Tech!CF48)-mlmx(Tech!BV48,Tech!BU48),"")</f>
      </c>
      <c r="S146" s="165">
        <f>IF(AND(AD48="c",S14&lt;&gt;""),mlmx(Tech!CH48,Tech!CF48)-mlmx(Tech!BW48,Tech!BU48),"")</f>
      </c>
      <c r="T146" s="165">
        <f>IF(AND(AD48="c",T14&lt;&gt;""),mlmx(Tech!CI48,Tech!CF48)-mlmx(Tech!BX48,Tech!BU48),"")</f>
      </c>
      <c r="U146" s="165">
        <f>IF(AND(AD48="c",U14&lt;&gt;""),mlmx(Tech!CJ48,Tech!CF48)-mlmx(Tech!BY48,Tech!BU48),"")</f>
      </c>
      <c r="V146" s="165">
        <f>IF(AND(AD48="c",V14&lt;&gt;""),mlmx(Tech!CK48,Tech!CF48)-mlmx(Tech!BZ48,Tech!BU48),"")</f>
      </c>
      <c r="W146" s="165">
        <f>IF(AND(AD48="c",W14&lt;&gt;""),mlmx(Tech!CL48,Tech!CF48)-mlmx(Tech!CA48,Tech!BU48),"")</f>
      </c>
      <c r="X146" s="165">
        <f>IF(AND(AD48="c",X14&lt;&gt;""),mlmx(Tech!CM48,Tech!CF48)-mlmx(Tech!CB48,Tech!BU48),"")</f>
      </c>
      <c r="Y146" s="165">
        <f>IF(AND(AD48="c",Y14&lt;&gt;""),mlmx(Tech!CN48,Tech!CF48)-mlmx(Tech!CC48,Tech!BU48),"")</f>
      </c>
      <c r="Z146" s="165">
        <f>IF(AND(AD48="c",Z14&lt;&gt;""),mlmx(Tech!CO48,Tech!CF48)-mlmx(Tech!CD48,Tech!BU48),"")</f>
      </c>
      <c r="AD146" s="22"/>
      <c r="AE146" s="57"/>
    </row>
    <row r="147" spans="14:31" ht="12.75">
      <c r="N147" s="166"/>
      <c r="O147" s="167" t="s">
        <v>32</v>
      </c>
      <c r="P147" s="165">
        <f>IF(AD48="c",mabs(Q147,R147,S147,T147,U147,V147,W147,X147,Y147,Z147)/COUNT(Q147:Z147),"")</f>
      </c>
      <c r="Q147" s="165">
        <f>IF(AD48="c",mlm1(Tech!DB48)-mlm1(Tech!CQ48),"")</f>
      </c>
      <c r="R147" s="165">
        <f>IF(AD48="c",mlmx(Tech!DC48,Tech!DB48)-mlmx(Tech!CR48,Tech!CQ48),"")</f>
      </c>
      <c r="S147" s="165">
        <f>IF(AND(AD48="c",S14&lt;&gt;""),mlmx(Tech!DD48,Tech!DB48)-mlmx(Tech!CS48,Tech!CQ48),"")</f>
      </c>
      <c r="T147" s="165">
        <f>IF(AND(AD48="c",T14&lt;&gt;""),mlmx(Tech!DE48,Tech!DB48)-mlmx(Tech!CT48,Tech!CQ48),"")</f>
      </c>
      <c r="U147" s="165">
        <f>IF(AND(AD48="c",U14&lt;&gt;""),mlmx(Tech!DF48,Tech!DB48)-mlmx(Tech!CU48,Tech!CQ48),"")</f>
      </c>
      <c r="V147" s="165">
        <f>IF(AND(AD48="c",V14&lt;&gt;""),mlmx(Tech!DG48,Tech!DB48)-mlmx(Tech!CV48,Tech!CQ48),"")</f>
      </c>
      <c r="W147" s="165">
        <f>IF(AND(AD48="c",W14&lt;&gt;""),mlmx(Tech!DH48,Tech!DB48)-mlmx(Tech!CW48,Tech!CQ48),"")</f>
      </c>
      <c r="X147" s="165">
        <f>IF(AND(AD48="c",X14&lt;&gt;""),mlmx(Tech!DI48,Tech!DB48)-mlmx(Tech!CX48,Tech!CQ48),"")</f>
      </c>
      <c r="Y147" s="165">
        <f>IF(AND(AD48="c",Y14&lt;&gt;""),mlmx(Tech!DJ48,Tech!DB48)-mlmx(Tech!CY48,Tech!CQ48),"")</f>
      </c>
      <c r="Z147" s="165">
        <f>IF(AND(AD48="c",Z14&lt;&gt;""),mlmx(Tech!DK48,Tech!DB48)-mlmx(Tech!CZ48,Tech!CQ48),"")</f>
      </c>
      <c r="AD147" s="22"/>
      <c r="AE147" s="57"/>
    </row>
    <row r="148" spans="14:31" ht="12.75">
      <c r="N148" s="166">
        <f>IF(AB49="","",AB49)</f>
      </c>
      <c r="O148" s="164" t="s">
        <v>31</v>
      </c>
      <c r="P148" s="165">
        <f>IF(AD49="b",mabs(Q148,R148,S148,T148,U148,V148,W148,X148,Y148,Z148)/COUNT(Q148:Z148),"")</f>
      </c>
      <c r="Q148" s="165">
        <f>IF(AD49="b",mlm1(Tech!AN49)-mlm1(Tech!AC49),"")</f>
      </c>
      <c r="R148" s="165">
        <f>IF(AD49="b",mlmx(Tech!AO49,Tech!AN49)-mlmx(Tech!AD49,Tech!AC49),"")</f>
      </c>
      <c r="S148" s="165">
        <f>IF(AND(AD49="b",S14&lt;&gt;""),mlmx(Tech!AP49,Tech!AN49)-mlmx(Tech!AE49,Tech!AC49),"")</f>
      </c>
      <c r="T148" s="165">
        <f>IF(AND(AD49="b",T14&lt;&gt;""),mlmx(Tech!AQ49,Tech!AN49)-mlmx(Tech!AF49,Tech!AC49),"")</f>
      </c>
      <c r="U148" s="165">
        <f>IF(AND(AD49="b",U14&lt;&gt;""),mlmx(Tech!AR49,Tech!AN49)-mlmx(Tech!AG49,Tech!AC49),"")</f>
      </c>
      <c r="V148" s="165">
        <f>IF(AND(AD49="b",V14&lt;&gt;""),mlmx(Tech!AS49,Tech!AN49)-mlmx(Tech!AH49,Tech!AC49),"")</f>
      </c>
      <c r="W148" s="165">
        <f>IF(AND(AD49="b",W14&lt;&gt;""),mlmx(Tech!AT49,Tech!AN49)-mlmx(Tech!AI49,Tech!AC49),"")</f>
      </c>
      <c r="X148" s="165">
        <f>IF(AND(AD49="b",X14&lt;&gt;""),mlmx(Tech!AU49,Tech!AN49)-mlmx(Tech!AJ49,Tech!AC49),"")</f>
      </c>
      <c r="Y148" s="165">
        <f>IF(AND(AD49="b",Y14&lt;&gt;""),mlmx(Tech!AV49,Tech!AN49)-mlmx(Tech!AK49,Tech!AC49),"")</f>
      </c>
      <c r="Z148" s="165">
        <f>IF(AND(AD49="b",Z14&lt;&gt;""),mlmx(Tech!AW49,Tech!AN49)-mlmx(Tech!AL49,Tech!AC49),"")</f>
      </c>
      <c r="AD148" s="22"/>
      <c r="AE148" s="57"/>
    </row>
    <row r="149" spans="14:31" ht="12.75">
      <c r="N149" s="166"/>
      <c r="O149" s="167" t="s">
        <v>103</v>
      </c>
      <c r="P149" s="165">
        <f>IF(AD49="c",mabs(Q149,R149,S149,T149,U149,V149,W149,X149,Y149,Z149)/COUNT(Q149:Z149),"")</f>
      </c>
      <c r="Q149" s="165">
        <f>IF(AD49="c",mlm1(Tech!BJ49)-mlm1(Tech!AY49),"")</f>
      </c>
      <c r="R149" s="165">
        <f>IF(AD49="c",mlmx(Tech!BK49,Tech!BJ49)-mlmx(Tech!AZ49,Tech!AY49),"")</f>
      </c>
      <c r="S149" s="165">
        <f>IF(AND(AD49="c",S14&lt;&gt;""),mlmx(Tech!BL49,Tech!BJ49)-mlmx(Tech!BA49,Tech!AY49),"")</f>
      </c>
      <c r="T149" s="165">
        <f>IF(AND(AD49="c",T14&lt;&gt;""),mlmx(Tech!BM49,Tech!BJ49)-mlmx(Tech!BB49,Tech!AY49),"")</f>
      </c>
      <c r="U149" s="165">
        <f>IF(AND(AD49="c",U14&lt;&gt;""),mlmx(Tech!BN49,Tech!BJ49)-mlmx(Tech!BC49,Tech!AY49),"")</f>
      </c>
      <c r="V149" s="165">
        <f>IF(AND(AD49="c",V14&lt;&gt;""),mlmx(Tech!BO49,Tech!BJ49)-mlmx(Tech!BD49,Tech!AY49),"")</f>
      </c>
      <c r="W149" s="165">
        <f>IF(AND(AD49="c",W14&lt;&gt;""),mlmx(Tech!BP49,Tech!BJ49)-mlmx(Tech!BE49,Tech!AY49),"")</f>
      </c>
      <c r="X149" s="165">
        <f>IF(AND(AD49="c",X14&lt;&gt;""),mlmx(Tech!BQ49,Tech!BJ49)-mlmx(Tech!BF49,Tech!AY49),"")</f>
      </c>
      <c r="Y149" s="165">
        <f>IF(AND(AD49="c",Y14&lt;&gt;""),mlmx(Tech!BR49,Tech!BJ49)-mlmx(Tech!BG49,Tech!AY49),"")</f>
      </c>
      <c r="Z149" s="165">
        <f>IF(AND(AD49="c",Z14&lt;&gt;""),mlmx(Tech!BS49,Tech!BJ49)-mlmx(Tech!BH49,Tech!AY49),"")</f>
      </c>
      <c r="AD149" s="22"/>
      <c r="AE149" s="57"/>
    </row>
    <row r="150" spans="14:31" ht="12.75">
      <c r="N150" s="166"/>
      <c r="O150" s="167" t="s">
        <v>104</v>
      </c>
      <c r="P150" s="165">
        <f>IF(AD49="c",mabs(Q150,R150,S150,T150,U150,V150,W150,X150,Y150,Z150)/COUNT(Q150:Z150),"")</f>
      </c>
      <c r="Q150" s="165">
        <f>IF(AD49="c",mlm1(Tech!CF49)-mlm1(Tech!BU49),"")</f>
      </c>
      <c r="R150" s="165">
        <f>IF(AD49="c",mlmx(Tech!CG49,Tech!CF49)-mlmx(Tech!BV49,Tech!BU49),"")</f>
      </c>
      <c r="S150" s="165">
        <f>IF(AND(AD49="c",S14&lt;&gt;""),mlmx(Tech!CH49,Tech!CF49)-mlmx(Tech!BW49,Tech!BU49),"")</f>
      </c>
      <c r="T150" s="165">
        <f>IF(AND(AD49="c",T14&lt;&gt;""),mlmx(Tech!CI49,Tech!CF49)-mlmx(Tech!BX49,Tech!BU49),"")</f>
      </c>
      <c r="U150" s="165">
        <f>IF(AND(AD49="c",U14&lt;&gt;""),mlmx(Tech!CJ49,Tech!CF49)-mlmx(Tech!BY49,Tech!BU49),"")</f>
      </c>
      <c r="V150" s="165">
        <f>IF(AND(AD49="c",V14&lt;&gt;""),mlmx(Tech!CK49,Tech!CF49)-mlmx(Tech!BZ49,Tech!BU49),"")</f>
      </c>
      <c r="W150" s="165">
        <f>IF(AND(AD49="c",W14&lt;&gt;""),mlmx(Tech!CL49,Tech!CF49)-mlmx(Tech!CA49,Tech!BU49),"")</f>
      </c>
      <c r="X150" s="165">
        <f>IF(AND(AD49="c",X14&lt;&gt;""),mlmx(Tech!CM49,Tech!CF49)-mlmx(Tech!CB49,Tech!BU49),"")</f>
      </c>
      <c r="Y150" s="165">
        <f>IF(AND(AD49="c",Y14&lt;&gt;""),mlmx(Tech!CN49,Tech!CF49)-mlmx(Tech!CC49,Tech!BU49),"")</f>
      </c>
      <c r="Z150" s="165">
        <f>IF(AND(AD49="c",Z14&lt;&gt;""),mlmx(Tech!CO49,Tech!CF49)-mlmx(Tech!CD49,Tech!BU49),"")</f>
      </c>
      <c r="AD150" s="22"/>
      <c r="AE150" s="57"/>
    </row>
    <row r="151" spans="14:31" ht="12.75">
      <c r="N151" s="166"/>
      <c r="O151" s="167" t="s">
        <v>32</v>
      </c>
      <c r="P151" s="165">
        <f>IF(AD49="c",mabs(Q151,R151,S151,T151,U151,V151,W151,X151,Y151,Z151)/COUNT(Q151:Z151),"")</f>
      </c>
      <c r="Q151" s="165">
        <f>IF(AD49="c",mlm1(Tech!DB49)-mlm1(Tech!CQ49),"")</f>
      </c>
      <c r="R151" s="165">
        <f>IF(AD49="c",mlmx(Tech!DC49,Tech!DB49)-mlmx(Tech!CR49,Tech!CQ49),"")</f>
      </c>
      <c r="S151" s="165">
        <f>IF(AND(AD49="c",S14&lt;&gt;""),mlmx(Tech!DD49,Tech!DB49)-mlmx(Tech!CS49,Tech!CQ49),"")</f>
      </c>
      <c r="T151" s="165">
        <f>IF(AND(AD49="c",T14&lt;&gt;""),mlmx(Tech!DE49,Tech!DB49)-mlmx(Tech!CT49,Tech!CQ49),"")</f>
      </c>
      <c r="U151" s="165">
        <f>IF(AND(AD49="c",U14&lt;&gt;""),mlmx(Tech!DF49,Tech!DB49)-mlmx(Tech!CU49,Tech!CQ49),"")</f>
      </c>
      <c r="V151" s="165">
        <f>IF(AND(AD49="c",V14&lt;&gt;""),mlmx(Tech!DG49,Tech!DB49)-mlmx(Tech!CV49,Tech!CQ49),"")</f>
      </c>
      <c r="W151" s="165">
        <f>IF(AND(AD49="c",W14&lt;&gt;""),mlmx(Tech!DH49,Tech!DB49)-mlmx(Tech!CW49,Tech!CQ49),"")</f>
      </c>
      <c r="X151" s="165">
        <f>IF(AND(AD49="c",X14&lt;&gt;""),mlmx(Tech!DI49,Tech!DB49)-mlmx(Tech!CX49,Tech!CQ49),"")</f>
      </c>
      <c r="Y151" s="165">
        <f>IF(AND(AD49="c",Y14&lt;&gt;""),mlmx(Tech!DJ49,Tech!DB49)-mlmx(Tech!CY49,Tech!CQ49),"")</f>
      </c>
      <c r="Z151" s="165">
        <f>IF(AND(AD49="c",Z14&lt;&gt;""),mlmx(Tech!DK49,Tech!DB49)-mlmx(Tech!CZ49,Tech!CQ49),"")</f>
      </c>
      <c r="AD151" s="22"/>
      <c r="AE151" s="57"/>
    </row>
    <row r="152" spans="14:31" ht="12.75">
      <c r="N152" s="166">
        <f>IF(AB50="","",AB50)</f>
      </c>
      <c r="O152" s="164" t="s">
        <v>31</v>
      </c>
      <c r="P152" s="165">
        <f>IF(AD50="b",mabs(Q152,R152,S152,T152,U152,V152,W152,X152,Y152,Z152)/COUNT(Q152:Z152),"")</f>
      </c>
      <c r="Q152" s="165">
        <f>IF(AD50="b",mlm1(Tech!AN50)-mlm1(Tech!AC50),"")</f>
      </c>
      <c r="R152" s="165">
        <f>IF(AD50="b",mlmx(Tech!AO50,Tech!AN50)-mlmx(Tech!AD50,Tech!AC50),"")</f>
      </c>
      <c r="S152" s="165">
        <f>IF(AND(AD50="b",S14&lt;&gt;""),mlmx(Tech!AP50,Tech!AN50)-mlmx(Tech!AE50,Tech!AC50),"")</f>
      </c>
      <c r="T152" s="165">
        <f>IF(AND(AD50="b",T14&lt;&gt;""),mlmx(Tech!AQ50,Tech!AN50)-mlmx(Tech!AF50,Tech!AC50),"")</f>
      </c>
      <c r="U152" s="165">
        <f>IF(AND(AD50="b",U14&lt;&gt;""),mlmx(Tech!AR50,Tech!AN50)-mlmx(Tech!AG50,Tech!AC50),"")</f>
      </c>
      <c r="V152" s="165">
        <f>IF(AND(AD50="b",V14&lt;&gt;""),mlmx(Tech!AS50,Tech!AN50)-mlmx(Tech!AH50,Tech!AC50),"")</f>
      </c>
      <c r="W152" s="165">
        <f>IF(AND(AD50="b",W14&lt;&gt;""),mlmx(Tech!AT50,Tech!AN50)-mlmx(Tech!AI50,Tech!AC50),"")</f>
      </c>
      <c r="X152" s="165">
        <f>IF(AND(AD50="b",X14&lt;&gt;""),mlmx(Tech!AU50,Tech!AN50)-mlmx(Tech!AJ50,Tech!AC50),"")</f>
      </c>
      <c r="Y152" s="165">
        <f>IF(AND(AD50="b",Y14&lt;&gt;""),mlmx(Tech!AV50,Tech!AN50)-mlmx(Tech!AK50,Tech!AC50),"")</f>
      </c>
      <c r="Z152" s="165">
        <f>IF(AND(AD50="b",Z14&lt;&gt;""),mlmx(Tech!AW50,Tech!AN50)-mlmx(Tech!AL50,Tech!AC50),"")</f>
      </c>
      <c r="AD152" s="22"/>
      <c r="AE152" s="57"/>
    </row>
    <row r="153" spans="14:31" ht="12.75">
      <c r="N153" s="166"/>
      <c r="O153" s="167" t="s">
        <v>103</v>
      </c>
      <c r="P153" s="165">
        <f>IF(AD50="c",mabs(Q153,R153,S153,T153,U153,V153,W153,X153,Y153,Z153)/COUNT(Q153:Z153),"")</f>
      </c>
      <c r="Q153" s="165">
        <f>IF(AD50="c",mlm1(Tech!BJ50)-mlm1(Tech!AY50),"")</f>
      </c>
      <c r="R153" s="165">
        <f>IF(AD50="c",mlmx(Tech!BK50,Tech!BJ50)-mlmx(Tech!AZ50,Tech!AY50),"")</f>
      </c>
      <c r="S153" s="165">
        <f>IF(AND(AD50="c",S14&lt;&gt;""),mlmx(Tech!BL50,Tech!BJ50)-mlmx(Tech!BA50,Tech!AY50),"")</f>
      </c>
      <c r="T153" s="165">
        <f>IF(AND(AD50="c",T14&lt;&gt;""),mlmx(Tech!BM50,Tech!BJ50)-mlmx(Tech!BB50,Tech!AY50),"")</f>
      </c>
      <c r="U153" s="165">
        <f>IF(AND(AD50="c",U14&lt;&gt;""),mlmx(Tech!BN50,Tech!BJ50)-mlmx(Tech!BC50,Tech!AY50),"")</f>
      </c>
      <c r="V153" s="165">
        <f>IF(AND(AD50="c",V14&lt;&gt;""),mlmx(Tech!BO50,Tech!BJ50)-mlmx(Tech!BD50,Tech!AY50),"")</f>
      </c>
      <c r="W153" s="165">
        <f>IF(AND(AD50="c",W14&lt;&gt;""),mlmx(Tech!BP50,Tech!BJ50)-mlmx(Tech!BE50,Tech!AY50),"")</f>
      </c>
      <c r="X153" s="165">
        <f>IF(AND(AD50="c",X14&lt;&gt;""),mlmx(Tech!BQ50,Tech!BJ50)-mlmx(Tech!BF50,Tech!AY50),"")</f>
      </c>
      <c r="Y153" s="165">
        <f>IF(AND(AD50="c",Y14&lt;&gt;""),mlmx(Tech!BR50,Tech!BJ50)-mlmx(Tech!BG50,Tech!AY50),"")</f>
      </c>
      <c r="Z153" s="165">
        <f>IF(AND(AD50="c",Z14&lt;&gt;""),mlmx(Tech!BS50,Tech!BJ50)-mlmx(Tech!BH50,Tech!AY50),"")</f>
      </c>
      <c r="AD153" s="22"/>
      <c r="AE153" s="57"/>
    </row>
    <row r="154" spans="14:31" ht="12.75">
      <c r="N154" s="166"/>
      <c r="O154" s="167" t="s">
        <v>104</v>
      </c>
      <c r="P154" s="165">
        <f>IF(AD50="c",mabs(Q154,R154,S154,T154,U154,V154,W154,X154,Y154,Z154)/COUNT(Q154:Z154),"")</f>
      </c>
      <c r="Q154" s="165">
        <f>IF(AD50="c",mlm1(Tech!CF50)-mlm1(Tech!BU50),"")</f>
      </c>
      <c r="R154" s="165">
        <f>IF(AD50="c",mlmx(Tech!CG50,Tech!CF50)-mlmx(Tech!BV50,Tech!BU50),"")</f>
      </c>
      <c r="S154" s="165">
        <f>IF(AND(AD50="c",S14&lt;&gt;""),mlmx(Tech!CH50,Tech!CF50)-mlmx(Tech!BW50,Tech!BU50),"")</f>
      </c>
      <c r="T154" s="165">
        <f>IF(AND(AD50="c",T14&lt;&gt;""),mlmx(Tech!CI50,Tech!CF50)-mlmx(Tech!BX50,Tech!BU50),"")</f>
      </c>
      <c r="U154" s="165">
        <f>IF(AND(AD50="c",U14&lt;&gt;""),mlmx(Tech!CJ50,Tech!CF50)-mlmx(Tech!BY50,Tech!BU50),"")</f>
      </c>
      <c r="V154" s="165">
        <f>IF(AND(AD50="c",V14&lt;&gt;""),mlmx(Tech!CK50,Tech!CF50)-mlmx(Tech!BZ50,Tech!BU50),"")</f>
      </c>
      <c r="W154" s="165">
        <f>IF(AND(AD50="c",W14&lt;&gt;""),mlmx(Tech!CL50,Tech!CF50)-mlmx(Tech!CA50,Tech!BU50),"")</f>
      </c>
      <c r="X154" s="165">
        <f>IF(AND(AD50="c",X14&lt;&gt;""),mlmx(Tech!CM50,Tech!CF50)-mlmx(Tech!CB50,Tech!BU50),"")</f>
      </c>
      <c r="Y154" s="165">
        <f>IF(AND(AD50="c",Y14&lt;&gt;""),mlmx(Tech!CN50,Tech!CF50)-mlmx(Tech!CC50,Tech!BU50),"")</f>
      </c>
      <c r="Z154" s="165">
        <f>IF(AND(AD50="c",Z14&lt;&gt;""),mlmx(Tech!CO50,Tech!CF50)-mlmx(Tech!CD50,Tech!BU50),"")</f>
      </c>
      <c r="AD154" s="22"/>
      <c r="AE154" s="57"/>
    </row>
    <row r="155" spans="14:31" ht="12.75">
      <c r="N155" s="166"/>
      <c r="O155" s="167" t="s">
        <v>32</v>
      </c>
      <c r="P155" s="165">
        <f>IF(AD50="c",mabs(Q155,R155,S155,T155,U155,V155,W155,X155,Y155,Z155)/COUNT(Q155:Z155),"")</f>
      </c>
      <c r="Q155" s="165">
        <f>IF(AD50="c",mlm1(Tech!DB50)-mlm1(Tech!CQ50),"")</f>
      </c>
      <c r="R155" s="165">
        <f>IF(AD50="c",mlmx(Tech!DC50,Tech!DB50)-mlmx(Tech!CR50,Tech!CQ50),"")</f>
      </c>
      <c r="S155" s="165">
        <f>IF(AND(AD50="c",S14&lt;&gt;""),mlmx(Tech!DD50,Tech!DB50)-mlmx(Tech!CS50,Tech!CQ50),"")</f>
      </c>
      <c r="T155" s="165">
        <f>IF(AND(AD50="c",T14&lt;&gt;""),mlmx(Tech!DE50,Tech!DB50)-mlmx(Tech!CT50,Tech!CQ50),"")</f>
      </c>
      <c r="U155" s="165">
        <f>IF(AND(AD50="c",U14&lt;&gt;""),mlmx(Tech!DF50,Tech!DB50)-mlmx(Tech!CU50,Tech!CQ50),"")</f>
      </c>
      <c r="V155" s="165">
        <f>IF(AND(AD50="c",V14&lt;&gt;""),mlmx(Tech!DG50,Tech!DB50)-mlmx(Tech!CV50,Tech!CQ50),"")</f>
      </c>
      <c r="W155" s="165">
        <f>IF(AND(AD50="c",W14&lt;&gt;""),mlmx(Tech!DH50,Tech!DB50)-mlmx(Tech!CW50,Tech!CQ50),"")</f>
      </c>
      <c r="X155" s="165">
        <f>IF(AND(AD50="c",X14&lt;&gt;""),mlmx(Tech!DI50,Tech!DB50)-mlmx(Tech!CX50,Tech!CQ50),"")</f>
      </c>
      <c r="Y155" s="165">
        <f>IF(AND(AD50="c",Y14&lt;&gt;""),mlmx(Tech!DJ50,Tech!DB50)-mlmx(Tech!CY50,Tech!CQ50),"")</f>
      </c>
      <c r="Z155" s="165">
        <f>IF(AND(AD50="c",Z14&lt;&gt;""),mlmx(Tech!DK50,Tech!DB50)-mlmx(Tech!CZ50,Tech!CQ50),"")</f>
      </c>
      <c r="AD155" s="22"/>
      <c r="AE155" s="57"/>
    </row>
    <row r="156" spans="14:31" ht="12.75">
      <c r="N156" s="166">
        <f>IF(AB51="","",AB51)</f>
      </c>
      <c r="O156" s="164" t="s">
        <v>31</v>
      </c>
      <c r="P156" s="165">
        <f>IF(AD51="b",mabs(Q156,R156,S156,T156,U156,V156,W156,X156,Y156,Z156)/COUNT(Q156:Z156),"")</f>
      </c>
      <c r="Q156" s="165">
        <f>IF(AD51="b",mlm1(Tech!AN51)-mlm1(Tech!AC51),"")</f>
      </c>
      <c r="R156" s="165">
        <f>IF(AD51="b",mlmx(Tech!AO51,Tech!AN51)-mlmx(Tech!AD51,Tech!AC51),"")</f>
      </c>
      <c r="S156" s="165">
        <f>IF(AND(AD51="b",S14&lt;&gt;""),mlmx(Tech!AP51,Tech!AN51)-mlmx(Tech!AE51,Tech!AC51),"")</f>
      </c>
      <c r="T156" s="165">
        <f>IF(AND(AD51="b",T14&lt;&gt;""),mlmx(Tech!AQ51,Tech!AN51)-mlmx(Tech!AF51,Tech!AC51),"")</f>
      </c>
      <c r="U156" s="165">
        <f>IF(AND(AD51="b",U14&lt;&gt;""),mlmx(Tech!AR51,Tech!AN51)-mlmx(Tech!AG51,Tech!AC51),"")</f>
      </c>
      <c r="V156" s="165">
        <f>IF(AND(AD51="b",V14&lt;&gt;""),mlmx(Tech!AS51,Tech!AN51)-mlmx(Tech!AH51,Tech!AC51),"")</f>
      </c>
      <c r="W156" s="165">
        <f>IF(AND(AD51="b",W14&lt;&gt;""),mlmx(Tech!AT51,Tech!AN51)-mlmx(Tech!AI51,Tech!AC51),"")</f>
      </c>
      <c r="X156" s="165">
        <f>IF(AND(AD51="b",X14&lt;&gt;""),mlmx(Tech!AU51,Tech!AN51)-mlmx(Tech!AJ51,Tech!AC51),"")</f>
      </c>
      <c r="Y156" s="165">
        <f>IF(AND(AD51="b",Y14&lt;&gt;""),mlmx(Tech!AV51,Tech!AN51)-mlmx(Tech!AK51,Tech!AC51),"")</f>
      </c>
      <c r="Z156" s="165">
        <f>IF(AND(AD51="b",Z14&lt;&gt;""),mlmx(Tech!AW51,Tech!AN51)-mlmx(Tech!AL51,Tech!AC51),"")</f>
      </c>
      <c r="AD156" s="22"/>
      <c r="AE156" s="57"/>
    </row>
    <row r="157" spans="14:31" ht="12.75">
      <c r="N157" s="166"/>
      <c r="O157" s="167" t="s">
        <v>103</v>
      </c>
      <c r="P157" s="165">
        <f>IF(AD51="c",mabs(Q157,R157,S157,T157,U157,V157,W157,X157,Y157,Z157)/COUNT(Q157:Z157),"")</f>
      </c>
      <c r="Q157" s="165">
        <f>IF(AD51="c",mlm1(Tech!BJ51)-mlm1(Tech!AY51),"")</f>
      </c>
      <c r="R157" s="165">
        <f>IF(AD51="c",mlmx(Tech!BK51,Tech!BJ51)-mlmx(Tech!AZ51,Tech!AY51),"")</f>
      </c>
      <c r="S157" s="165">
        <f>IF(AND(AD51="c",S14&lt;&gt;""),mlmx(Tech!BL51,Tech!BJ51)-mlmx(Tech!BA51,Tech!AY51),"")</f>
      </c>
      <c r="T157" s="165">
        <f>IF(AND(AD51="c",T14&lt;&gt;""),mlmx(Tech!BM51,Tech!BJ51)-mlmx(Tech!BB51,Tech!AY51),"")</f>
      </c>
      <c r="U157" s="165">
        <f>IF(AND(AD51="c",U14&lt;&gt;""),mlmx(Tech!BN51,Tech!BJ51)-mlmx(Tech!BC51,Tech!AY51),"")</f>
      </c>
      <c r="V157" s="165">
        <f>IF(AND(AD51="c",V14&lt;&gt;""),mlmx(Tech!BO51,Tech!BJ51)-mlmx(Tech!BD51,Tech!AY51),"")</f>
      </c>
      <c r="W157" s="165">
        <f>IF(AND(AD51="c",W14&lt;&gt;""),mlmx(Tech!BP51,Tech!BJ51)-mlmx(Tech!BE51,Tech!AY51),"")</f>
      </c>
      <c r="X157" s="165">
        <f>IF(AND(AD51="c",X14&lt;&gt;""),mlmx(Tech!BQ51,Tech!BJ51)-mlmx(Tech!BF51,Tech!AY51),"")</f>
      </c>
      <c r="Y157" s="165">
        <f>IF(AND(AD51="c",Y14&lt;&gt;""),mlmx(Tech!BR51,Tech!BJ51)-mlmx(Tech!BG51,Tech!AY51),"")</f>
      </c>
      <c r="Z157" s="165">
        <f>IF(AND(AD51="c",Z14&lt;&gt;""),mlmx(Tech!BS51,Tech!BJ51)-mlmx(Tech!BH51,Tech!AY51),"")</f>
      </c>
      <c r="AD157" s="22"/>
      <c r="AE157" s="57"/>
    </row>
    <row r="158" spans="14:31" ht="12.75">
      <c r="N158" s="166"/>
      <c r="O158" s="167" t="s">
        <v>104</v>
      </c>
      <c r="P158" s="165">
        <f>IF(AD51="c",mabs(Q158,R158,S158,T158,U158,V158,W158,X158,Y158,Z158)/COUNT(Q158:Z158),"")</f>
      </c>
      <c r="Q158" s="165">
        <f>IF(AD51="c",mlm1(Tech!CF51)-mlm1(Tech!BU51),"")</f>
      </c>
      <c r="R158" s="165">
        <f>IF(AD51="c",mlmx(Tech!CG51,Tech!CF51)-mlmx(Tech!BV51,Tech!BU51),"")</f>
      </c>
      <c r="S158" s="165">
        <f>IF(AND(AD51="c",S14&lt;&gt;""),mlmx(Tech!CH51,Tech!CF51)-mlmx(Tech!BW51,Tech!BU51),"")</f>
      </c>
      <c r="T158" s="165">
        <f>IF(AND(AD51="c",T14&lt;&gt;""),mlmx(Tech!CI51,Tech!CF51)-mlmx(Tech!BX51,Tech!BU51),"")</f>
      </c>
      <c r="U158" s="165">
        <f>IF(AND(AD51="c",U14&lt;&gt;""),mlmx(Tech!CJ51,Tech!CF51)-mlmx(Tech!BY51,Tech!BU51),"")</f>
      </c>
      <c r="V158" s="165">
        <f>IF(AND(AD51="c",V14&lt;&gt;""),mlmx(Tech!CK51,Tech!CF51)-mlmx(Tech!BZ51,Tech!BU51),"")</f>
      </c>
      <c r="W158" s="165">
        <f>IF(AND(AD51="c",W14&lt;&gt;""),mlmx(Tech!CL51,Tech!CF51)-mlmx(Tech!CA51,Tech!BU51),"")</f>
      </c>
      <c r="X158" s="165">
        <f>IF(AND(AD51="c",X14&lt;&gt;""),mlmx(Tech!CM51,Tech!CF51)-mlmx(Tech!CB51,Tech!BU51),"")</f>
      </c>
      <c r="Y158" s="165">
        <f>IF(AND(AD51="c",Y14&lt;&gt;""),mlmx(Tech!CN51,Tech!CF51)-mlmx(Tech!CC51,Tech!BU51),"")</f>
      </c>
      <c r="Z158" s="165">
        <f>IF(AND(AD51="c",Z14&lt;&gt;""),mlmx(Tech!CO51,Tech!CF51)-mlmx(Tech!CD51,Tech!BU51),"")</f>
      </c>
      <c r="AD158" s="22"/>
      <c r="AE158" s="57"/>
    </row>
    <row r="159" spans="14:31" ht="12.75">
      <c r="N159" s="166"/>
      <c r="O159" s="167" t="s">
        <v>32</v>
      </c>
      <c r="P159" s="165">
        <f>IF(AD51="c",mabs(Q159,R159,S159,T159,U159,V159,W159,X159,Y159,Z159)/COUNT(Q159:Z159),"")</f>
      </c>
      <c r="Q159" s="165">
        <f>IF(AD51="c",mlm1(Tech!DB51)-mlm1(Tech!CQ51),"")</f>
      </c>
      <c r="R159" s="165">
        <f>IF(AD51="c",mlmx(Tech!DC51,Tech!DB51)-mlmx(Tech!CR51,Tech!CQ51),"")</f>
      </c>
      <c r="S159" s="165">
        <f>IF(AND(AD51="c",S14&lt;&gt;""),mlmx(Tech!DD51,Tech!DB51)-mlmx(Tech!CS51,Tech!CQ51),"")</f>
      </c>
      <c r="T159" s="165">
        <f>IF(AND(AD51="c",T14&lt;&gt;""),mlmx(Tech!DE51,Tech!DB51)-mlmx(Tech!CT51,Tech!CQ51),"")</f>
      </c>
      <c r="U159" s="165">
        <f>IF(AND(AD51="c",U14&lt;&gt;""),mlmx(Tech!DF51,Tech!DB51)-mlmx(Tech!CU51,Tech!CQ51),"")</f>
      </c>
      <c r="V159" s="165">
        <f>IF(AND(AD51="c",V14&lt;&gt;""),mlmx(Tech!DG51,Tech!DB51)-mlmx(Tech!CV51,Tech!CQ51),"")</f>
      </c>
      <c r="W159" s="165">
        <f>IF(AND(AD51="c",W14&lt;&gt;""),mlmx(Tech!DH51,Tech!DB51)-mlmx(Tech!CW51,Tech!CQ51),"")</f>
      </c>
      <c r="X159" s="165">
        <f>IF(AND(AD51="c",X14&lt;&gt;""),mlmx(Tech!DI51,Tech!DB51)-mlmx(Tech!CX51,Tech!CQ51),"")</f>
      </c>
      <c r="Y159" s="165">
        <f>IF(AND(AD51="c",Y14&lt;&gt;""),mlmx(Tech!DJ51,Tech!DB51)-mlmx(Tech!CY51,Tech!CQ51),"")</f>
      </c>
      <c r="Z159" s="165">
        <f>IF(AND(AD51="c",Z14&lt;&gt;""),mlmx(Tech!DK51,Tech!DB51)-mlmx(Tech!CZ51,Tech!CQ51),"")</f>
      </c>
      <c r="AD159" s="22"/>
      <c r="AE159" s="57"/>
    </row>
    <row r="160" spans="14:31" ht="12.75">
      <c r="N160" s="166">
        <f>IF(AB52="","",AB52)</f>
      </c>
      <c r="O160" s="164" t="s">
        <v>31</v>
      </c>
      <c r="P160" s="165">
        <f>IF(AD52="b",mabs(Q160,R160,S160,T160,U160,V160,W160,X160,Y160,Z160)/COUNT(Q160:Z160),"")</f>
      </c>
      <c r="Q160" s="165">
        <f>IF(AD52="b",mlm1(Tech!AN52)-mlm1(Tech!AC52),"")</f>
      </c>
      <c r="R160" s="165">
        <f>IF(AD52="b",mlmx(Tech!AO52,Tech!AN52)-mlmx(Tech!AD52,Tech!AC52),"")</f>
      </c>
      <c r="S160" s="165">
        <f>IF(AND(AD52="b",S14&lt;&gt;""),mlmx(Tech!AP52,Tech!AN52)-mlmx(Tech!AE52,Tech!AC52),"")</f>
      </c>
      <c r="T160" s="165">
        <f>IF(AND(AD52="b",T14&lt;&gt;""),mlmx(Tech!AQ52,Tech!AN52)-mlmx(Tech!AF52,Tech!AC52),"")</f>
      </c>
      <c r="U160" s="165">
        <f>IF(AND(AD52="b",U14&lt;&gt;""),mlmx(Tech!AR52,Tech!AN52)-mlmx(Tech!AG52,Tech!AC52),"")</f>
      </c>
      <c r="V160" s="165">
        <f>IF(AND(AD52="b",V14&lt;&gt;""),mlmx(Tech!AS52,Tech!AN52)-mlmx(Tech!AH52,Tech!AC52),"")</f>
      </c>
      <c r="W160" s="165">
        <f>IF(AND(AD52="b",W14&lt;&gt;""),mlmx(Tech!AT52,Tech!AN52)-mlmx(Tech!AI52,Tech!AC52),"")</f>
      </c>
      <c r="X160" s="165">
        <f>IF(AND(AD52="b",X14&lt;&gt;""),mlmx(Tech!AU52,Tech!AN52)-mlmx(Tech!AJ52,Tech!AC52),"")</f>
      </c>
      <c r="Y160" s="165">
        <f>IF(AND(AD52="b",Y14&lt;&gt;""),mlmx(Tech!AV52,Tech!AN52)-mlmx(Tech!AK52,Tech!AC52),"")</f>
      </c>
      <c r="Z160" s="165">
        <f>IF(AND(AD52="b",Z14&lt;&gt;""),mlmx(Tech!AW52,Tech!AN52)-mlmx(Tech!AL52,Tech!AC52),"")</f>
      </c>
      <c r="AD160" s="22"/>
      <c r="AE160" s="57"/>
    </row>
    <row r="161" spans="14:31" ht="12.75">
      <c r="N161" s="166"/>
      <c r="O161" s="167" t="s">
        <v>103</v>
      </c>
      <c r="P161" s="165">
        <f>IF(AD52="c",mabs(Q161,R161,S161,T161,U161,V161,W161,X161,Y161,Z161)/COUNT(Q161:Z161),"")</f>
      </c>
      <c r="Q161" s="165">
        <f>IF(AD52="c",mlm1(Tech!BJ52)-mlm1(Tech!AY52),"")</f>
      </c>
      <c r="R161" s="165">
        <f>IF(AD52="c",mlmx(Tech!BK52,Tech!BJ52)-mlmx(Tech!AZ52,Tech!AY52),"")</f>
      </c>
      <c r="S161" s="165">
        <f>IF(AND(AD52="c",S14&lt;&gt;""),mlmx(Tech!BL52,Tech!BJ52)-mlmx(Tech!BA52,Tech!AY52),"")</f>
      </c>
      <c r="T161" s="165">
        <f>IF(AND(AD52="c",T14&lt;&gt;""),mlmx(Tech!BM52,Tech!BJ52)-mlmx(Tech!BB52,Tech!AY52),"")</f>
      </c>
      <c r="U161" s="165">
        <f>IF(AND(AD52="c",U14&lt;&gt;""),mlmx(Tech!BN52,Tech!BJ52)-mlmx(Tech!BC52,Tech!AY52),"")</f>
      </c>
      <c r="V161" s="165">
        <f>IF(AND(AD52="c",V14&lt;&gt;""),mlmx(Tech!BO52,Tech!BJ52)-mlmx(Tech!BD52,Tech!AY52),"")</f>
      </c>
      <c r="W161" s="165">
        <f>IF(AND(AD52="c",W14&lt;&gt;""),mlmx(Tech!BP52,Tech!BJ52)-mlmx(Tech!BE52,Tech!AY52),"")</f>
      </c>
      <c r="X161" s="165">
        <f>IF(AND(AD52="c",X14&lt;&gt;""),mlmx(Tech!BQ52,Tech!BJ52)-mlmx(Tech!BF52,Tech!AY52),"")</f>
      </c>
      <c r="Y161" s="165">
        <f>IF(AND(AD52="c",Y14&lt;&gt;""),mlmx(Tech!BR52,Tech!BJ52)-mlmx(Tech!BG52,Tech!AY52),"")</f>
      </c>
      <c r="Z161" s="165">
        <f>IF(AND(AD52="c",Z14&lt;&gt;""),mlmx(Tech!BS52,Tech!BJ52)-mlmx(Tech!BH52,Tech!AY52),"")</f>
      </c>
      <c r="AD161" s="22"/>
      <c r="AE161" s="57"/>
    </row>
    <row r="162" spans="14:31" ht="12.75">
      <c r="N162" s="166"/>
      <c r="O162" s="167" t="s">
        <v>104</v>
      </c>
      <c r="P162" s="165">
        <f>IF(AD52="c",mabs(Q162,R162,S162,T162,U162,V162,W162,X162,Y162,Z162)/COUNT(Q162:Z162),"")</f>
      </c>
      <c r="Q162" s="165">
        <f>IF(AD52="c",mlm1(Tech!CF52)-mlm1(Tech!BU52),"")</f>
      </c>
      <c r="R162" s="165">
        <f>IF(AD52="c",mlmx(Tech!CG52,Tech!CF52)-mlmx(Tech!BV52,Tech!BU52),"")</f>
      </c>
      <c r="S162" s="165">
        <f>IF(AND(AD52="c",S14&lt;&gt;""),mlmx(Tech!CH52,Tech!CF52)-mlmx(Tech!BW52,Tech!BU52),"")</f>
      </c>
      <c r="T162" s="165">
        <f>IF(AND(AD52="c",T14&lt;&gt;""),mlmx(Tech!CI52,Tech!CF52)-mlmx(Tech!BX52,Tech!BU52),"")</f>
      </c>
      <c r="U162" s="165">
        <f>IF(AND(AD52="c",U14&lt;&gt;""),mlmx(Tech!CJ52,Tech!CF52)-mlmx(Tech!BY52,Tech!BU52),"")</f>
      </c>
      <c r="V162" s="165">
        <f>IF(AND(AD52="c",V14&lt;&gt;""),mlmx(Tech!CK52,Tech!CF52)-mlmx(Tech!BZ52,Tech!BU52),"")</f>
      </c>
      <c r="W162" s="165">
        <f>IF(AND(AD52="c",W14&lt;&gt;""),mlmx(Tech!CL52,Tech!CF52)-mlmx(Tech!CA52,Tech!BU52),"")</f>
      </c>
      <c r="X162" s="165">
        <f>IF(AND(AD52="c",X14&lt;&gt;""),mlmx(Tech!CM52,Tech!CF52)-mlmx(Tech!CB52,Tech!BU52),"")</f>
      </c>
      <c r="Y162" s="165">
        <f>IF(AND(AD52="c",Y14&lt;&gt;""),mlmx(Tech!CN52,Tech!CF52)-mlmx(Tech!CC52,Tech!BU52),"")</f>
      </c>
      <c r="Z162" s="165">
        <f>IF(AND(AD52="c",Z14&lt;&gt;""),mlmx(Tech!CO52,Tech!CF52)-mlmx(Tech!CD52,Tech!BU52),"")</f>
      </c>
      <c r="AD162" s="22"/>
      <c r="AE162" s="57"/>
    </row>
    <row r="163" spans="14:31" ht="12.75">
      <c r="N163" s="166"/>
      <c r="O163" s="167" t="s">
        <v>32</v>
      </c>
      <c r="P163" s="165">
        <f>IF(AD52="c",mabs(Q163,R163,S163,T163,U163,V163,W163,X163,Y163,Z163)/COUNT(Q163:Z163),"")</f>
      </c>
      <c r="Q163" s="165">
        <f>IF(AD52="c",mlm1(Tech!DB52)-mlm1(Tech!CQ52),"")</f>
      </c>
      <c r="R163" s="165">
        <f>IF(AD52="c",mlmx(Tech!DC52,Tech!DB52)-mlmx(Tech!CR52,Tech!CQ52),"")</f>
      </c>
      <c r="S163" s="165">
        <f>IF(AND(AD52="c",S14&lt;&gt;""),mlmx(Tech!DD52,Tech!DB52)-mlmx(Tech!CS52,Tech!CQ52),"")</f>
      </c>
      <c r="T163" s="165">
        <f>IF(AND(AD52="c",T14&lt;&gt;""),mlmx(Tech!DE52,Tech!DB52)-mlmx(Tech!CT52,Tech!CQ52),"")</f>
      </c>
      <c r="U163" s="165">
        <f>IF(AND(AD52="c",U14&lt;&gt;""),mlmx(Tech!DF52,Tech!DB52)-mlmx(Tech!CU52,Tech!CQ52),"")</f>
      </c>
      <c r="V163" s="165">
        <f>IF(AND(AD52="c",V14&lt;&gt;""),mlmx(Tech!DG52,Tech!DB52)-mlmx(Tech!CV52,Tech!CQ52),"")</f>
      </c>
      <c r="W163" s="165">
        <f>IF(AND(AD52="c",W14&lt;&gt;""),mlmx(Tech!DH52,Tech!DB52)-mlmx(Tech!CW52,Tech!CQ52),"")</f>
      </c>
      <c r="X163" s="165">
        <f>IF(AND(AD52="c",X14&lt;&gt;""),mlmx(Tech!DI52,Tech!DB52)-mlmx(Tech!CX52,Tech!CQ52),"")</f>
      </c>
      <c r="Y163" s="165">
        <f>IF(AND(AD52="c",Y14&lt;&gt;""),mlmx(Tech!DJ52,Tech!DB52)-mlmx(Tech!CY52,Tech!CQ52),"")</f>
      </c>
      <c r="Z163" s="165">
        <f>IF(AND(AD52="c",Z14&lt;&gt;""),mlmx(Tech!DK52,Tech!DB52)-mlmx(Tech!CZ52,Tech!CQ52),"")</f>
      </c>
      <c r="AD163" s="22"/>
      <c r="AE163" s="57"/>
    </row>
    <row r="164" spans="14:31" ht="12.75">
      <c r="N164" s="166">
        <f>IF(AB53="","",AB53)</f>
      </c>
      <c r="O164" s="164" t="s">
        <v>31</v>
      </c>
      <c r="P164" s="165">
        <f>IF(AD53="b",mabs(Q164,R164,S164,T164,U164,V164,W164,X164,Y164,Z164)/COUNT(Q164:Z164),"")</f>
      </c>
      <c r="Q164" s="165">
        <f>IF(AD53="b",mlm1(Tech!AN53)-mlm1(Tech!AC53),"")</f>
      </c>
      <c r="R164" s="165">
        <f>IF(AD53="b",mlmx(Tech!AO53,Tech!AN53)-mlmx(Tech!AD53,Tech!AC53),"")</f>
      </c>
      <c r="S164" s="165">
        <f>IF(AND(AD53="b",S14&lt;&gt;""),mlmx(Tech!AP53,Tech!AN53)-mlmx(Tech!AE53,Tech!AC53),"")</f>
      </c>
      <c r="T164" s="165">
        <f>IF(AND(AD53="b",T14&lt;&gt;""),mlmx(Tech!AQ53,Tech!AN53)-mlmx(Tech!AF53,Tech!AC53),"")</f>
      </c>
      <c r="U164" s="165">
        <f>IF(AND(AD53="b",U14&lt;&gt;""),mlmx(Tech!AR53,Tech!AN53)-mlmx(Tech!AG53,Tech!AC53),"")</f>
      </c>
      <c r="V164" s="165">
        <f>IF(AND(AD53="b",V14&lt;&gt;""),mlmx(Tech!AS53,Tech!AN53)-mlmx(Tech!AH53,Tech!AC53),"")</f>
      </c>
      <c r="W164" s="165">
        <f>IF(AND(AD53="b",W14&lt;&gt;""),mlmx(Tech!AT53,Tech!AN53)-mlmx(Tech!AI53,Tech!AC53),"")</f>
      </c>
      <c r="X164" s="165">
        <f>IF(AND(AD53="b",X14&lt;&gt;""),mlmx(Tech!AU53,Tech!AN53)-mlmx(Tech!AJ53,Tech!AC53),"")</f>
      </c>
      <c r="Y164" s="165">
        <f>IF(AND(AD53="b",Y14&lt;&gt;""),mlmx(Tech!AV53,Tech!AN53)-mlmx(Tech!AK53,Tech!AC53),"")</f>
      </c>
      <c r="Z164" s="165">
        <f>IF(AND(AD53="b",Z14&lt;&gt;""),mlmx(Tech!AW53,Tech!AN53)-mlmx(Tech!AL53,Tech!AC53),"")</f>
      </c>
      <c r="AD164" s="22"/>
      <c r="AE164" s="57"/>
    </row>
    <row r="165" spans="14:31" ht="12.75">
      <c r="N165" s="166"/>
      <c r="O165" s="167" t="s">
        <v>103</v>
      </c>
      <c r="P165" s="165">
        <f>IF(AD53="c",mabs(Q165,R165,S165,T165,U165,V165,W165,X165,Y165,Z165)/COUNT(Q165:Z165),"")</f>
      </c>
      <c r="Q165" s="165">
        <f>IF(AD53="c",mlm1(Tech!BJ53)-mlm1(Tech!AY53),"")</f>
      </c>
      <c r="R165" s="165">
        <f>IF(AD53="c",mlmx(Tech!BK53,Tech!BJ53)-mlmx(Tech!AZ53,Tech!AY53),"")</f>
      </c>
      <c r="S165" s="165">
        <f>IF(AND(AD53="c",S14&lt;&gt;""),mlmx(Tech!BL53,Tech!BJ53)-mlmx(Tech!BA53,Tech!AY53),"")</f>
      </c>
      <c r="T165" s="165">
        <f>IF(AND(AD53="c",T14&lt;&gt;""),mlmx(Tech!BM53,Tech!BJ53)-mlmx(Tech!BB53,Tech!AY53),"")</f>
      </c>
      <c r="U165" s="165">
        <f>IF(AND(AD53="c",U14&lt;&gt;""),mlmx(Tech!BN53,Tech!BJ53)-mlmx(Tech!BC53,Tech!AY53),"")</f>
      </c>
      <c r="V165" s="165">
        <f>IF(AND(AD53="c",V14&lt;&gt;""),mlmx(Tech!BO53,Tech!BJ53)-mlmx(Tech!BD53,Tech!AY53),"")</f>
      </c>
      <c r="W165" s="165">
        <f>IF(AND(AD53="c",W14&lt;&gt;""),mlmx(Tech!BP53,Tech!BJ53)-mlmx(Tech!BE53,Tech!AY53),"")</f>
      </c>
      <c r="X165" s="165">
        <f>IF(AND(AD53="c",X14&lt;&gt;""),mlmx(Tech!BQ53,Tech!BJ53)-mlmx(Tech!BF53,Tech!AY53),"")</f>
      </c>
      <c r="Y165" s="165">
        <f>IF(AND(AD53="c",Y14&lt;&gt;""),mlmx(Tech!BR53,Tech!BJ53)-mlmx(Tech!BG53,Tech!AY53),"")</f>
      </c>
      <c r="Z165" s="165">
        <f>IF(AND(AD53="c",Z14&lt;&gt;""),mlmx(Tech!BS53,Tech!BJ53)-mlmx(Tech!BH53,Tech!AY53),"")</f>
      </c>
      <c r="AD165" s="22"/>
      <c r="AE165" s="57"/>
    </row>
    <row r="166" spans="14:31" ht="12.75">
      <c r="N166" s="166"/>
      <c r="O166" s="167" t="s">
        <v>104</v>
      </c>
      <c r="P166" s="165">
        <f>IF(AD53="c",mabs(Q166,R166,S166,T166,U166,V166,W166,X166,Y166,Z166)/COUNT(Q166:Z166),"")</f>
      </c>
      <c r="Q166" s="165">
        <f>IF(AD53="c",mlm1(Tech!CF53)-mlm1(Tech!BU53),"")</f>
      </c>
      <c r="R166" s="165">
        <f>IF(AD53="c",mlmx(Tech!CG53,Tech!CF53)-mlmx(Tech!BV53,Tech!BU53),"")</f>
      </c>
      <c r="S166" s="165">
        <f>IF(AND(AD53="c",S14&lt;&gt;""),mlmx(Tech!CH53,Tech!CF53)-mlmx(Tech!BW53,Tech!BU53),"")</f>
      </c>
      <c r="T166" s="165">
        <f>IF(AND(AD53="c",T14&lt;&gt;""),mlmx(Tech!CI53,Tech!CF53)-mlmx(Tech!BX53,Tech!BU53),"")</f>
      </c>
      <c r="U166" s="165">
        <f>IF(AND(AD53="c",U14&lt;&gt;""),mlmx(Tech!CJ53,Tech!CF53)-mlmx(Tech!BY53,Tech!BU53),"")</f>
      </c>
      <c r="V166" s="165">
        <f>IF(AND(AD53="c",V14&lt;&gt;""),mlmx(Tech!CK53,Tech!CF53)-mlmx(Tech!BZ53,Tech!BU53),"")</f>
      </c>
      <c r="W166" s="165">
        <f>IF(AND(AD53="c",W14&lt;&gt;""),mlmx(Tech!CL53,Tech!CF53)-mlmx(Tech!CA53,Tech!BU53),"")</f>
      </c>
      <c r="X166" s="165">
        <f>IF(AND(AD53="c",X14&lt;&gt;""),mlmx(Tech!CM53,Tech!CF53)-mlmx(Tech!CB53,Tech!BU53),"")</f>
      </c>
      <c r="Y166" s="165">
        <f>IF(AND(AD53="c",Y14&lt;&gt;""),mlmx(Tech!CN53,Tech!CF53)-mlmx(Tech!CC53,Tech!BU53),"")</f>
      </c>
      <c r="Z166" s="165">
        <f>IF(AND(AD53="c",Z14&lt;&gt;""),mlmx(Tech!CO53,Tech!CF53)-mlmx(Tech!CD53,Tech!BU53),"")</f>
      </c>
      <c r="AD166" s="22"/>
      <c r="AE166" s="57"/>
    </row>
    <row r="167" spans="14:31" ht="12.75">
      <c r="N167" s="166"/>
      <c r="O167" s="167" t="s">
        <v>32</v>
      </c>
      <c r="P167" s="165">
        <f>IF(AD53="c",mabs(Q167,R167,S167,T167,U167,V167,W167,X167,Y167,Z167)/COUNT(Q167:Z167),"")</f>
      </c>
      <c r="Q167" s="165">
        <f>IF(AD53="c",mlm1(Tech!DB53)-mlm1(Tech!CQ53),"")</f>
      </c>
      <c r="R167" s="165">
        <f>IF(AD53="c",mlmx(Tech!DC53,Tech!DB53)-mlmx(Tech!CR53,Tech!CQ53),"")</f>
      </c>
      <c r="S167" s="165">
        <f>IF(AND(AD53="c",S14&lt;&gt;""),mlmx(Tech!DD53,Tech!DB53)-mlmx(Tech!CS53,Tech!CQ53),"")</f>
      </c>
      <c r="T167" s="165">
        <f>IF(AND(AD53="c",T14&lt;&gt;""),mlmx(Tech!DE53,Tech!DB53)-mlmx(Tech!CT53,Tech!CQ53),"")</f>
      </c>
      <c r="U167" s="165">
        <f>IF(AND(AD53="c",U14&lt;&gt;""),mlmx(Tech!DF53,Tech!DB53)-mlmx(Tech!CU53,Tech!CQ53),"")</f>
      </c>
      <c r="V167" s="165">
        <f>IF(AND(AD53="c",V14&lt;&gt;""),mlmx(Tech!DG53,Tech!DB53)-mlmx(Tech!CV53,Tech!CQ53),"")</f>
      </c>
      <c r="W167" s="165">
        <f>IF(AND(AD53="c",W14&lt;&gt;""),mlmx(Tech!DH53,Tech!DB53)-mlmx(Tech!CW53,Tech!CQ53),"")</f>
      </c>
      <c r="X167" s="165">
        <f>IF(AND(AD53="c",X14&lt;&gt;""),mlmx(Tech!DI53,Tech!DB53)-mlmx(Tech!CX53,Tech!CQ53),"")</f>
      </c>
      <c r="Y167" s="165">
        <f>IF(AND(AD53="c",Y14&lt;&gt;""),mlmx(Tech!DJ53,Tech!DB53)-mlmx(Tech!CY53,Tech!CQ53),"")</f>
      </c>
      <c r="Z167" s="165">
        <f>IF(AND(AD53="c",Z14&lt;&gt;""),mlmx(Tech!DK53,Tech!DB53)-mlmx(Tech!CZ53,Tech!CQ53),"")</f>
      </c>
      <c r="AD167" s="22"/>
      <c r="AE167" s="57"/>
    </row>
    <row r="168" spans="14:31" ht="12.75">
      <c r="N168" s="166">
        <f>IF(AB54="","",AB54)</f>
      </c>
      <c r="O168" s="164" t="s">
        <v>31</v>
      </c>
      <c r="P168" s="165">
        <f>IF(AD54="b",mabs(Q168,R168,S168,T168,U168,V168,W168,X168,Y168,Z168)/COUNT(Q168:Z168),"")</f>
      </c>
      <c r="Q168" s="165">
        <f>IF(AD54="b",mlm1(Tech!AN54)-mlm1(Tech!AC54),"")</f>
      </c>
      <c r="R168" s="165">
        <f>IF(AD54="b",mlmx(Tech!AO54,Tech!AN54)-mlmx(Tech!AD54,Tech!AC54),"")</f>
      </c>
      <c r="S168" s="165">
        <f>IF(AND(AD54="b",S14&lt;&gt;""),mlmx(Tech!AP54,Tech!AN54)-mlmx(Tech!AE54,Tech!AC54),"")</f>
      </c>
      <c r="T168" s="165">
        <f>IF(AND(AD54="b",T14&lt;&gt;""),mlmx(Tech!AQ54,Tech!AN54)-mlmx(Tech!AF54,Tech!AC54),"")</f>
      </c>
      <c r="U168" s="165">
        <f>IF(AND(AD54="b",U14&lt;&gt;""),mlmx(Tech!AR54,Tech!AN54)-mlmx(Tech!AG54,Tech!AC54),"")</f>
      </c>
      <c r="V168" s="165">
        <f>IF(AND(AD54="b",V14&lt;&gt;""),mlmx(Tech!AS54,Tech!AN54)-mlmx(Tech!AH54,Tech!AC54),"")</f>
      </c>
      <c r="W168" s="165">
        <f>IF(AND(AD54="b",W14&lt;&gt;""),mlmx(Tech!AT54,Tech!AN54)-mlmx(Tech!AI54,Tech!AC54),"")</f>
      </c>
      <c r="X168" s="165">
        <f>IF(AND(AD54="b",X14&lt;&gt;""),mlmx(Tech!AU54,Tech!AN54)-mlmx(Tech!AJ54,Tech!AC54),"")</f>
      </c>
      <c r="Y168" s="165">
        <f>IF(AND(AD54="b",Y14&lt;&gt;""),mlmx(Tech!AV54,Tech!AN54)-mlmx(Tech!AK54,Tech!AC54),"")</f>
      </c>
      <c r="Z168" s="165">
        <f>IF(AND(AD54="b",Z14&lt;&gt;""),mlmx(Tech!AW54,Tech!AN54)-mlmx(Tech!AL54,Tech!AC54),"")</f>
      </c>
      <c r="AD168" s="22"/>
      <c r="AE168" s="57"/>
    </row>
    <row r="169" spans="14:31" ht="12.75">
      <c r="N169" s="166"/>
      <c r="O169" s="167" t="s">
        <v>103</v>
      </c>
      <c r="P169" s="165">
        <f>IF(AD54="c",mabs(Q169,R169,S169,T169,U169,V169,W169,X169,Y169,Z169)/COUNT(Q169:Z169),"")</f>
      </c>
      <c r="Q169" s="165">
        <f>IF(AD54="c",mlm1(Tech!BJ54)-mlm1(Tech!AY54),"")</f>
      </c>
      <c r="R169" s="165">
        <f>IF(AD54="c",mlmx(Tech!BK54,Tech!BJ54)-mlmx(Tech!AZ54,Tech!AY54),"")</f>
      </c>
      <c r="S169" s="165">
        <f>IF(AND(AD54="c",S14&lt;&gt;""),mlmx(Tech!BL54,Tech!BJ54)-mlmx(Tech!BA54,Tech!AY54),"")</f>
      </c>
      <c r="T169" s="165">
        <f>IF(AND(AD54="c",T14&lt;&gt;""),mlmx(Tech!BM54,Tech!BJ54)-mlmx(Tech!BB54,Tech!AY54),"")</f>
      </c>
      <c r="U169" s="165">
        <f>IF(AND(AD54="c",U14&lt;&gt;""),mlmx(Tech!BN54,Tech!BJ54)-mlmx(Tech!BC54,Tech!AY54),"")</f>
      </c>
      <c r="V169" s="165">
        <f>IF(AND(AD54="c",V14&lt;&gt;""),mlmx(Tech!BO54,Tech!BJ54)-mlmx(Tech!BD54,Tech!AY54),"")</f>
      </c>
      <c r="W169" s="165">
        <f>IF(AND(AD54="c",W14&lt;&gt;""),mlmx(Tech!BP54,Tech!BJ54)-mlmx(Tech!BE54,Tech!AY54),"")</f>
      </c>
      <c r="X169" s="165">
        <f>IF(AND(AD54="c",X14&lt;&gt;""),mlmx(Tech!BQ54,Tech!BJ54)-mlmx(Tech!BF54,Tech!AY54),"")</f>
      </c>
      <c r="Y169" s="165">
        <f>IF(AND(AD54="c",Y14&lt;&gt;""),mlmx(Tech!BR54,Tech!BJ54)-mlmx(Tech!BG54,Tech!AY54),"")</f>
      </c>
      <c r="Z169" s="165">
        <f>IF(AND(AD54="c",Z14&lt;&gt;""),mlmx(Tech!BS54,Tech!BJ54)-mlmx(Tech!BH54,Tech!AY54),"")</f>
      </c>
      <c r="AD169" s="22"/>
      <c r="AE169" s="57"/>
    </row>
    <row r="170" spans="14:31" ht="12.75">
      <c r="N170" s="166"/>
      <c r="O170" s="167" t="s">
        <v>104</v>
      </c>
      <c r="P170" s="165">
        <f>IF(AD54="c",mabs(Q170,R170,S170,T170,U170,V170,W170,X170,Y170,Z170)/COUNT(Q170:Z170),"")</f>
      </c>
      <c r="Q170" s="165">
        <f>IF(AD54="c",mlm1(Tech!CF54)-mlm1(Tech!BU54),"")</f>
      </c>
      <c r="R170" s="165">
        <f>IF(AD54="c",mlmx(Tech!CG54,Tech!CF54)-mlmx(Tech!BV54,Tech!BU54),"")</f>
      </c>
      <c r="S170" s="165">
        <f>IF(AND(AD54="c",S14&lt;&gt;""),mlmx(Tech!CH54,Tech!CF54)-mlmx(Tech!BW54,Tech!BU54),"")</f>
      </c>
      <c r="T170" s="165">
        <f>IF(AND(AD54="c",T14&lt;&gt;""),mlmx(Tech!CI54,Tech!CF54)-mlmx(Tech!BX54,Tech!BU54),"")</f>
      </c>
      <c r="U170" s="165">
        <f>IF(AND(AD54="c",U14&lt;&gt;""),mlmx(Tech!CJ54,Tech!CF54)-mlmx(Tech!BY54,Tech!BU54),"")</f>
      </c>
      <c r="V170" s="165">
        <f>IF(AND(AD54="c",V14&lt;&gt;""),mlmx(Tech!CK54,Tech!CF54)-mlmx(Tech!BZ54,Tech!BU54),"")</f>
      </c>
      <c r="W170" s="165">
        <f>IF(AND(AD54="c",W14&lt;&gt;""),mlmx(Tech!CL54,Tech!CF54)-mlmx(Tech!CA54,Tech!BU54),"")</f>
      </c>
      <c r="X170" s="165">
        <f>IF(AND(AD54="c",X14&lt;&gt;""),mlmx(Tech!CM54,Tech!CF54)-mlmx(Tech!CB54,Tech!BU54),"")</f>
      </c>
      <c r="Y170" s="165">
        <f>IF(AND(AD54="c",Y14&lt;&gt;""),mlmx(Tech!CN54,Tech!CF54)-mlmx(Tech!CC54,Tech!BU54),"")</f>
      </c>
      <c r="Z170" s="165">
        <f>IF(AND(AD54="c",Z14&lt;&gt;""),mlmx(Tech!CO54,Tech!CF54)-mlmx(Tech!CD54,Tech!BU54),"")</f>
      </c>
      <c r="AD170" s="22"/>
      <c r="AE170" s="57"/>
    </row>
    <row r="171" spans="14:31" ht="12.75">
      <c r="N171" s="166"/>
      <c r="O171" s="167" t="s">
        <v>32</v>
      </c>
      <c r="P171" s="165">
        <f>IF(AD54="c",mabs(Q171,R171,S171,T171,U171,V171,W171,X171,Y171,Z171)/COUNT(Q171:Z171),"")</f>
      </c>
      <c r="Q171" s="165">
        <f>IF(AD54="c",mlm1(Tech!DB54)-mlm1(Tech!CQ54),"")</f>
      </c>
      <c r="R171" s="165">
        <f>IF(AD54="c",mlmx(Tech!DC54,Tech!DB54)-mlmx(Tech!CR54,Tech!CQ54),"")</f>
      </c>
      <c r="S171" s="165">
        <f>IF(AND(AD54="c",S14&lt;&gt;""),mlmx(Tech!DD54,Tech!DB54)-mlmx(Tech!CS54,Tech!CQ54),"")</f>
      </c>
      <c r="T171" s="165">
        <f>IF(AND(AD54="c",T14&lt;&gt;""),mlmx(Tech!DE54,Tech!DB54)-mlmx(Tech!CT54,Tech!CQ54),"")</f>
      </c>
      <c r="U171" s="165">
        <f>IF(AND(AD54="c",U14&lt;&gt;""),mlmx(Tech!DF54,Tech!DB54)-mlmx(Tech!CU54,Tech!CQ54),"")</f>
      </c>
      <c r="V171" s="165">
        <f>IF(AND(AD54="c",V14&lt;&gt;""),mlmx(Tech!DG54,Tech!DB54)-mlmx(Tech!CV54,Tech!CQ54),"")</f>
      </c>
      <c r="W171" s="165">
        <f>IF(AND(AD54="c",W14&lt;&gt;""),mlmx(Tech!DH54,Tech!DB54)-mlmx(Tech!CW54,Tech!CQ54),"")</f>
      </c>
      <c r="X171" s="165">
        <f>IF(AND(AD54="c",X14&lt;&gt;""),mlmx(Tech!DI54,Tech!DB54)-mlmx(Tech!CX54,Tech!CQ54),"")</f>
      </c>
      <c r="Y171" s="165">
        <f>IF(AND(AD54="c",Y14&lt;&gt;""),mlmx(Tech!DJ54,Tech!DB54)-mlmx(Tech!CY54,Tech!CQ54),"")</f>
      </c>
      <c r="Z171" s="165">
        <f>IF(AND(AD54="c",Z14&lt;&gt;""),mlmx(Tech!DK54,Tech!DB54)-mlmx(Tech!CZ54,Tech!CQ54),"")</f>
      </c>
      <c r="AD171" s="22"/>
      <c r="AE171" s="57"/>
    </row>
    <row r="172" spans="14:31" ht="12.75">
      <c r="N172" s="166">
        <f>IF(AB55="","",AB55)</f>
      </c>
      <c r="O172" s="164" t="s">
        <v>31</v>
      </c>
      <c r="P172" s="165">
        <f>IF(AD55="b",mabs(Q172,R172,S172,T172,U172,V172,W172,X172,Y172,Z172)/COUNT(Q172:Z172),"")</f>
      </c>
      <c r="Q172" s="165">
        <f>IF(AD55="b",mlm1(Tech!AN55)-mlm1(Tech!AC55),"")</f>
      </c>
      <c r="R172" s="165">
        <f>IF(AD55="b",mlmx(Tech!AO55,Tech!AN55)-mlmx(Tech!AD55,Tech!AC55),"")</f>
      </c>
      <c r="S172" s="165">
        <f>IF(AND(AD55="b",S14&lt;&gt;""),mlmx(Tech!AP55,Tech!AN55)-mlmx(Tech!AE55,Tech!AC55),"")</f>
      </c>
      <c r="T172" s="165">
        <f>IF(AND(AD55="b",T14&lt;&gt;""),mlmx(Tech!AQ55,Tech!AN55)-mlmx(Tech!AF55,Tech!AC55),"")</f>
      </c>
      <c r="U172" s="165">
        <f>IF(AND(AD55="b",U14&lt;&gt;""),mlmx(Tech!AR55,Tech!AN55)-mlmx(Tech!AG55,Tech!AC55),"")</f>
      </c>
      <c r="V172" s="165">
        <f>IF(AND(AD55="b",V14&lt;&gt;""),mlmx(Tech!AS55,Tech!AN55)-mlmx(Tech!AH55,Tech!AC55),"")</f>
      </c>
      <c r="W172" s="165">
        <f>IF(AND(AD55="b",W14&lt;&gt;""),mlmx(Tech!AT55,Tech!AN55)-mlmx(Tech!AI55,Tech!AC55),"")</f>
      </c>
      <c r="X172" s="165">
        <f>IF(AND(AD55="b",X14&lt;&gt;""),mlmx(Tech!AU55,Tech!AN55)-mlmx(Tech!AJ55,Tech!AC55),"")</f>
      </c>
      <c r="Y172" s="165">
        <f>IF(AND(AD55="b",Y14&lt;&gt;""),mlmx(Tech!AV55,Tech!AN55)-mlmx(Tech!AK55,Tech!AC55),"")</f>
      </c>
      <c r="Z172" s="165">
        <f>IF(AND(AD55="b",Z14&lt;&gt;""),mlmx(Tech!AW55,Tech!AN55)-mlmx(Tech!AL55,Tech!AC55),"")</f>
      </c>
      <c r="AD172" s="22"/>
      <c r="AE172" s="57"/>
    </row>
    <row r="173" spans="14:31" ht="12.75">
      <c r="N173" s="166"/>
      <c r="O173" s="167" t="s">
        <v>103</v>
      </c>
      <c r="P173" s="165">
        <f>IF(AD55="c",mabs(Q173,R173,S173,T173,U173,V173,W173,X173,Y173,Z173)/COUNT(Q173:Z173),"")</f>
      </c>
      <c r="Q173" s="165">
        <f>IF(AD55="c",mlm1(Tech!BJ55)-mlm1(Tech!AY55),"")</f>
      </c>
      <c r="R173" s="165">
        <f>IF(AD55="c",mlmx(Tech!BK55,Tech!BJ55)-mlmx(Tech!AZ55,Tech!AY55),"")</f>
      </c>
      <c r="S173" s="165">
        <f>IF(AND(AD55="c",S14&lt;&gt;""),mlmx(Tech!BL55,Tech!BJ55)-mlmx(Tech!BA55,Tech!AY55),"")</f>
      </c>
      <c r="T173" s="165">
        <f>IF(AND(AD55="c",T14&lt;&gt;""),mlmx(Tech!BM55,Tech!BJ55)-mlmx(Tech!BB55,Tech!AY55),"")</f>
      </c>
      <c r="U173" s="165">
        <f>IF(AND(AD55="c",U14&lt;&gt;""),mlmx(Tech!BN55,Tech!BJ55)-mlmx(Tech!BC55,Tech!AY55),"")</f>
      </c>
      <c r="V173" s="165">
        <f>IF(AND(AD55="c",V14&lt;&gt;""),mlmx(Tech!BO55,Tech!BJ55)-mlmx(Tech!BD55,Tech!AY55),"")</f>
      </c>
      <c r="W173" s="165">
        <f>IF(AND(AD55="c",W14&lt;&gt;""),mlmx(Tech!BP55,Tech!BJ55)-mlmx(Tech!BE55,Tech!AY55),"")</f>
      </c>
      <c r="X173" s="165">
        <f>IF(AND(AD55="c",X14&lt;&gt;""),mlmx(Tech!BQ55,Tech!BJ55)-mlmx(Tech!BF55,Tech!AY55),"")</f>
      </c>
      <c r="Y173" s="165">
        <f>IF(AND(AD55="c",Y14&lt;&gt;""),mlmx(Tech!BR55,Tech!BJ55)-mlmx(Tech!BG55,Tech!AY55),"")</f>
      </c>
      <c r="Z173" s="165">
        <f>IF(AND(AD55="c",Z14&lt;&gt;""),mlmx(Tech!BS55,Tech!BJ55)-mlmx(Tech!BH55,Tech!AY55),"")</f>
      </c>
      <c r="AD173" s="22"/>
      <c r="AE173" s="57"/>
    </row>
    <row r="174" spans="14:31" ht="12.75">
      <c r="N174" s="166"/>
      <c r="O174" s="167" t="s">
        <v>104</v>
      </c>
      <c r="P174" s="165">
        <f>IF(AD55="c",mabs(Q174,R174,S174,T174,U174,V174,W174,X174,Y174,Z174)/COUNT(Q174:Z174),"")</f>
      </c>
      <c r="Q174" s="165">
        <f>IF(AD55="c",mlm1(Tech!CF55)-mlm1(Tech!BU55),"")</f>
      </c>
      <c r="R174" s="165">
        <f>IF(AD55="c",mlmx(Tech!CG55,Tech!CF55)-mlmx(Tech!BV55,Tech!BU55),"")</f>
      </c>
      <c r="S174" s="165">
        <f>IF(AND(AD55="c",S14&lt;&gt;""),mlmx(Tech!CH55,Tech!CF55)-mlmx(Tech!BW55,Tech!BU55),"")</f>
      </c>
      <c r="T174" s="165">
        <f>IF(AND(AD55="c",T14&lt;&gt;""),mlmx(Tech!CI55,Tech!CF55)-mlmx(Tech!BX55,Tech!BU55),"")</f>
      </c>
      <c r="U174" s="165">
        <f>IF(AND(AD55="c",U14&lt;&gt;""),mlmx(Tech!CJ55,Tech!CF55)-mlmx(Tech!BY55,Tech!BU55),"")</f>
      </c>
      <c r="V174" s="165">
        <f>IF(AND(AD55="c",V14&lt;&gt;""),mlmx(Tech!CK55,Tech!CF55)-mlmx(Tech!BZ55,Tech!BU55),"")</f>
      </c>
      <c r="W174" s="165">
        <f>IF(AND(AD55="c",W14&lt;&gt;""),mlmx(Tech!CL55,Tech!CF55)-mlmx(Tech!CA55,Tech!BU55),"")</f>
      </c>
      <c r="X174" s="165">
        <f>IF(AND(AD55="c",X14&lt;&gt;""),mlmx(Tech!CM55,Tech!CF55)-mlmx(Tech!CB55,Tech!BU55),"")</f>
      </c>
      <c r="Y174" s="165">
        <f>IF(AND(AD55="c",Y14&lt;&gt;""),mlmx(Tech!CN55,Tech!CF55)-mlmx(Tech!CC55,Tech!BU55),"")</f>
      </c>
      <c r="Z174" s="165">
        <f>IF(AND(AD55="c",Z14&lt;&gt;""),mlmx(Tech!CO55,Tech!CF55)-mlmx(Tech!CD55,Tech!BU55),"")</f>
      </c>
      <c r="AD174" s="22"/>
      <c r="AE174" s="57"/>
    </row>
    <row r="175" spans="14:31" ht="12.75">
      <c r="N175" s="166"/>
      <c r="O175" s="167" t="s">
        <v>32</v>
      </c>
      <c r="P175" s="165">
        <f>IF(AD55="c",mabs(Q175,R175,S175,T175,U175,V175,W175,X175,Y175,Z175)/COUNT(Q175:Z175),"")</f>
      </c>
      <c r="Q175" s="165">
        <f>IF(AD55="c",mlm1(Tech!DB55)-mlm1(Tech!CQ55),"")</f>
      </c>
      <c r="R175" s="165">
        <f>IF(AD55="c",mlmx(Tech!DC55,Tech!DB55)-mlmx(Tech!CR55,Tech!CQ55),"")</f>
      </c>
      <c r="S175" s="165">
        <f>IF(AND(AD55="c",S14&lt;&gt;""),mlmx(Tech!DD55,Tech!DB55)-mlmx(Tech!CS55,Tech!CQ55),"")</f>
      </c>
      <c r="T175" s="165">
        <f>IF(AND(AD55="c",T14&lt;&gt;""),mlmx(Tech!DE55,Tech!DB55)-mlmx(Tech!CT55,Tech!CQ55),"")</f>
      </c>
      <c r="U175" s="165">
        <f>IF(AND(AD55="c",U14&lt;&gt;""),mlmx(Tech!DF55,Tech!DB55)-mlmx(Tech!CU55,Tech!CQ55),"")</f>
      </c>
      <c r="V175" s="165">
        <f>IF(AND(AD55="c",V14&lt;&gt;""),mlmx(Tech!DG55,Tech!DB55)-mlmx(Tech!CV55,Tech!CQ55),"")</f>
      </c>
      <c r="W175" s="165">
        <f>IF(AND(AD55="c",W14&lt;&gt;""),mlmx(Tech!DH55,Tech!DB55)-mlmx(Tech!CW55,Tech!CQ55),"")</f>
      </c>
      <c r="X175" s="165">
        <f>IF(AND(AD55="c",X14&lt;&gt;""),mlmx(Tech!DI55,Tech!DB55)-mlmx(Tech!CX55,Tech!CQ55),"")</f>
      </c>
      <c r="Y175" s="165">
        <f>IF(AND(AD55="c",Y14&lt;&gt;""),mlmx(Tech!DJ55,Tech!DB55)-mlmx(Tech!CY55,Tech!CQ55),"")</f>
      </c>
      <c r="Z175" s="165">
        <f>IF(AND(AD55="c",Z14&lt;&gt;""),mlmx(Tech!DK55,Tech!DB55)-mlmx(Tech!CZ55,Tech!CQ55),"")</f>
      </c>
      <c r="AD175" s="22"/>
      <c r="AE175" s="57"/>
    </row>
    <row r="176" spans="14:31" ht="12.75">
      <c r="N176" s="166">
        <f>IF(AB56="","",AB56)</f>
      </c>
      <c r="O176" s="164" t="s">
        <v>31</v>
      </c>
      <c r="P176" s="165">
        <f>IF(AD56="b",mabs(Q176,R176,S176,T176,U176,V176,W176,X176,Y176,Z176)/COUNT(Q176:Z176),"")</f>
      </c>
      <c r="Q176" s="165">
        <f>IF(AD56="b",mlm1(Tech!AN56)-mlm1(Tech!AC56),"")</f>
      </c>
      <c r="R176" s="165">
        <f>IF(AD56="b",mlmx(Tech!AO56,Tech!AN56)-mlmx(Tech!AD56,Tech!AC56),"")</f>
      </c>
      <c r="S176" s="165">
        <f>IF(AND(AD56="b",S14&lt;&gt;""),mlmx(Tech!AP56,Tech!AN56)-mlmx(Tech!AE56,Tech!AC56),"")</f>
      </c>
      <c r="T176" s="165">
        <f>IF(AND(AD56="b",T14&lt;&gt;""),mlmx(Tech!AQ56,Tech!AN56)-mlmx(Tech!AF56,Tech!AC56),"")</f>
      </c>
      <c r="U176" s="165">
        <f>IF(AND(AD56="b",U14&lt;&gt;""),mlmx(Tech!AR56,Tech!AN56)-mlmx(Tech!AG56,Tech!AC56),"")</f>
      </c>
      <c r="V176" s="165">
        <f>IF(AND(AD56="b",V14&lt;&gt;""),mlmx(Tech!AS56,Tech!AN56)-mlmx(Tech!AH56,Tech!AC56),"")</f>
      </c>
      <c r="W176" s="165">
        <f>IF(AND(AD56="b",W14&lt;&gt;""),mlmx(Tech!AT56,Tech!AN56)-mlmx(Tech!AI56,Tech!AC56),"")</f>
      </c>
      <c r="X176" s="165">
        <f>IF(AND(AD56="b",X14&lt;&gt;""),mlmx(Tech!AU56,Tech!AN56)-mlmx(Tech!AJ56,Tech!AC56),"")</f>
      </c>
      <c r="Y176" s="165">
        <f>IF(AND(AD56="b",Y14&lt;&gt;""),mlmx(Tech!AV56,Tech!AN56)-mlmx(Tech!AK56,Tech!AC56),"")</f>
      </c>
      <c r="Z176" s="165">
        <f>IF(AND(AD56="b",Z14&lt;&gt;""),mlmx(Tech!AW56,Tech!AN56)-mlmx(Tech!AL56,Tech!AC56),"")</f>
      </c>
      <c r="AD176" s="22"/>
      <c r="AE176" s="57"/>
    </row>
    <row r="177" spans="14:31" ht="12.75">
      <c r="N177" s="166"/>
      <c r="O177" s="167" t="s">
        <v>103</v>
      </c>
      <c r="P177" s="165">
        <f>IF(AD56="c",mabs(Q177,R177,S177,T177,U177,V177,W177,X177,Y177,Z177)/COUNT(Q177:Z177),"")</f>
      </c>
      <c r="Q177" s="165">
        <f>IF(AD56="c",mlm1(Tech!BJ56)-mlm1(Tech!AY56),"")</f>
      </c>
      <c r="R177" s="165">
        <f>IF(AD56="c",mlmx(Tech!BK56,Tech!BJ56)-mlmx(Tech!AZ56,Tech!AY56),"")</f>
      </c>
      <c r="S177" s="165">
        <f>IF(AND(AD56="c",S14&lt;&gt;""),mlmx(Tech!BL56,Tech!BJ56)-mlmx(Tech!BA56,Tech!AY56),"")</f>
      </c>
      <c r="T177" s="165">
        <f>IF(AND(AD56="c",T14&lt;&gt;""),mlmx(Tech!BM56,Tech!BJ56)-mlmx(Tech!BB56,Tech!AY56),"")</f>
      </c>
      <c r="U177" s="165">
        <f>IF(AND(AD56="c",U14&lt;&gt;""),mlmx(Tech!BN56,Tech!BJ56)-mlmx(Tech!BC56,Tech!AY56),"")</f>
      </c>
      <c r="V177" s="165">
        <f>IF(AND(AD56="c",V14&lt;&gt;""),mlmx(Tech!BO56,Tech!BJ56)-mlmx(Tech!BD56,Tech!AY56),"")</f>
      </c>
      <c r="W177" s="165">
        <f>IF(AND(AD56="c",W14&lt;&gt;""),mlmx(Tech!BP56,Tech!BJ56)-mlmx(Tech!BE56,Tech!AY56),"")</f>
      </c>
      <c r="X177" s="165">
        <f>IF(AND(AD56="c",X14&lt;&gt;""),mlmx(Tech!BQ56,Tech!BJ56)-mlmx(Tech!BF56,Tech!AY56),"")</f>
      </c>
      <c r="Y177" s="165">
        <f>IF(AND(AD56="c",Y14&lt;&gt;""),mlmx(Tech!BR56,Tech!BJ56)-mlmx(Tech!BG56,Tech!AY56),"")</f>
      </c>
      <c r="Z177" s="165">
        <f>IF(AND(AD56="c",Z14&lt;&gt;""),mlmx(Tech!BS56,Tech!BJ56)-mlmx(Tech!BH56,Tech!AY56),"")</f>
      </c>
      <c r="AD177" s="22"/>
      <c r="AE177" s="57"/>
    </row>
    <row r="178" spans="14:31" ht="12.75">
      <c r="N178" s="166"/>
      <c r="O178" s="167" t="s">
        <v>104</v>
      </c>
      <c r="P178" s="165">
        <f>IF(AD56="c",mabs(Q178,R178,S178,T178,U178,V178,W178,X178,Y178,Z178)/COUNT(Q178:Z178),"")</f>
      </c>
      <c r="Q178" s="165">
        <f>IF(AD56="c",mlm1(Tech!CF56)-mlm1(Tech!BU56),"")</f>
      </c>
      <c r="R178" s="165">
        <f>IF(AD56="c",mlmx(Tech!CG56,Tech!CF56)-mlmx(Tech!BV56,Tech!BU56),"")</f>
      </c>
      <c r="S178" s="165">
        <f>IF(AND(AD56="c",S14&lt;&gt;""),mlmx(Tech!CH56,Tech!CF56)-mlmx(Tech!BW56,Tech!BU56),"")</f>
      </c>
      <c r="T178" s="165">
        <f>IF(AND(AD56="c",T14&lt;&gt;""),mlmx(Tech!CI56,Tech!CF56)-mlmx(Tech!BX56,Tech!BU56),"")</f>
      </c>
      <c r="U178" s="165">
        <f>IF(AND(AD56="c",U14&lt;&gt;""),mlmx(Tech!CJ56,Tech!CF56)-mlmx(Tech!BY56,Tech!BU56),"")</f>
      </c>
      <c r="V178" s="165">
        <f>IF(AND(AD56="c",V14&lt;&gt;""),mlmx(Tech!CK56,Tech!CF56)-mlmx(Tech!BZ56,Tech!BU56),"")</f>
      </c>
      <c r="W178" s="165">
        <f>IF(AND(AD56="c",W14&lt;&gt;""),mlmx(Tech!CL56,Tech!CF56)-mlmx(Tech!CA56,Tech!BU56),"")</f>
      </c>
      <c r="X178" s="165">
        <f>IF(AND(AD56="c",X14&lt;&gt;""),mlmx(Tech!CM56,Tech!CF56)-mlmx(Tech!CB56,Tech!BU56),"")</f>
      </c>
      <c r="Y178" s="165">
        <f>IF(AND(AD56="c",Y14&lt;&gt;""),mlmx(Tech!CN56,Tech!CF56)-mlmx(Tech!CC56,Tech!BU56),"")</f>
      </c>
      <c r="Z178" s="165">
        <f>IF(AND(AD56="c",Z14&lt;&gt;""),mlmx(Tech!CO56,Tech!CF56)-mlmx(Tech!CD56,Tech!BU56),"")</f>
      </c>
      <c r="AD178" s="22"/>
      <c r="AE178" s="57"/>
    </row>
    <row r="179" spans="14:31" ht="12.75">
      <c r="N179" s="166"/>
      <c r="O179" s="167" t="s">
        <v>32</v>
      </c>
      <c r="P179" s="165">
        <f>IF(AD56="c",mabs(Q179,R179,S179,T179,U179,V179,W179,X179,Y179,Z179)/COUNT(Q179:Z179),"")</f>
      </c>
      <c r="Q179" s="165">
        <f>IF(AD56="c",mlm1(Tech!DB56)-mlm1(Tech!CQ56),"")</f>
      </c>
      <c r="R179" s="165">
        <f>IF(AD56="c",mlmx(Tech!DC56,Tech!DB56)-mlmx(Tech!CR56,Tech!CQ56),"")</f>
      </c>
      <c r="S179" s="165">
        <f>IF(AND(AD56="c",S14&lt;&gt;""),mlmx(Tech!DD56,Tech!DB56)-mlmx(Tech!CS56,Tech!CQ56),"")</f>
      </c>
      <c r="T179" s="165">
        <f>IF(AND(AD56="c",T14&lt;&gt;""),mlmx(Tech!DE56,Tech!DB56)-mlmx(Tech!CT56,Tech!CQ56),"")</f>
      </c>
      <c r="U179" s="165">
        <f>IF(AND(AD56="c",U14&lt;&gt;""),mlmx(Tech!DF56,Tech!DB56)-mlmx(Tech!CU56,Tech!CQ56),"")</f>
      </c>
      <c r="V179" s="165">
        <f>IF(AND(AD56="c",V14&lt;&gt;""),mlmx(Tech!DG56,Tech!DB56)-mlmx(Tech!CV56,Tech!CQ56),"")</f>
      </c>
      <c r="W179" s="165">
        <f>IF(AND(AD56="c",W14&lt;&gt;""),mlmx(Tech!DH56,Tech!DB56)-mlmx(Tech!CW56,Tech!CQ56),"")</f>
      </c>
      <c r="X179" s="165">
        <f>IF(AND(AD56="c",X14&lt;&gt;""),mlmx(Tech!DI56,Tech!DB56)-mlmx(Tech!CX56,Tech!CQ56),"")</f>
      </c>
      <c r="Y179" s="165">
        <f>IF(AND(AD56="c",Y14&lt;&gt;""),mlmx(Tech!DJ56,Tech!DB56)-mlmx(Tech!CY56,Tech!CQ56),"")</f>
      </c>
      <c r="Z179" s="165">
        <f>IF(AND(AD56="c",Z14&lt;&gt;""),mlmx(Tech!DK56,Tech!DB56)-mlmx(Tech!CZ56,Tech!CQ56),"")</f>
      </c>
      <c r="AD179" s="22"/>
      <c r="AE179" s="57"/>
    </row>
    <row r="180" spans="14:31" ht="12.75">
      <c r="N180" s="166">
        <f>IF(AB57="","",AB57)</f>
      </c>
      <c r="O180" s="164" t="s">
        <v>31</v>
      </c>
      <c r="P180" s="165">
        <f>IF(AD57="b",mabs(Q180,R180,S180,T180,U180,V180,W180,X180,Y180,Z180)/COUNT(Q180:Z180),"")</f>
      </c>
      <c r="Q180" s="165">
        <f>IF(AD57="b",mlm1(Tech!AN57)-mlm1(Tech!AC57),"")</f>
      </c>
      <c r="R180" s="165">
        <f>IF(AD57="b",mlmx(Tech!AO57,Tech!AN57)-mlmx(Tech!AD57,Tech!AC57),"")</f>
      </c>
      <c r="S180" s="165">
        <f>IF(AND(AD57="b",S14&lt;&gt;""),mlmx(Tech!AP57,Tech!AN57)-mlmx(Tech!AE57,Tech!AC57),"")</f>
      </c>
      <c r="T180" s="165">
        <f>IF(AND(AD57="b",T14&lt;&gt;""),mlmx(Tech!AQ57,Tech!AN57)-mlmx(Tech!AF57,Tech!AC57),"")</f>
      </c>
      <c r="U180" s="165">
        <f>IF(AND(AD57="b",U14&lt;&gt;""),mlmx(Tech!AR57,Tech!AN57)-mlmx(Tech!AG57,Tech!AC57),"")</f>
      </c>
      <c r="V180" s="165">
        <f>IF(AND(AD57="b",V14&lt;&gt;""),mlmx(Tech!AS57,Tech!AN57)-mlmx(Tech!AH57,Tech!AC57),"")</f>
      </c>
      <c r="W180" s="165">
        <f>IF(AND(AD57="b",W14&lt;&gt;""),mlmx(Tech!AT57,Tech!AN57)-mlmx(Tech!AI57,Tech!AC57),"")</f>
      </c>
      <c r="X180" s="165">
        <f>IF(AND(AD57="b",X14&lt;&gt;""),mlmx(Tech!AU57,Tech!AN57)-mlmx(Tech!AJ57,Tech!AC57),"")</f>
      </c>
      <c r="Y180" s="165">
        <f>IF(AND(AD57="b",Y14&lt;&gt;""),mlmx(Tech!AV57,Tech!AN57)-mlmx(Tech!AK57,Tech!AC57),"")</f>
      </c>
      <c r="Z180" s="165">
        <f>IF(AND(AD57="b",Z14&lt;&gt;""),mlmx(Tech!AW57,Tech!AN57)-mlmx(Tech!AL57,Tech!AC57),"")</f>
      </c>
      <c r="AD180" s="22"/>
      <c r="AE180" s="57"/>
    </row>
    <row r="181" spans="14:31" ht="12.75">
      <c r="N181" s="166"/>
      <c r="O181" s="167" t="s">
        <v>103</v>
      </c>
      <c r="P181" s="165">
        <f>IF(AD57="c",mabs(Q181,R181,S181,T181,U181,V181,W181,X181,Y181,Z181)/COUNT(Q181:Z181),"")</f>
      </c>
      <c r="Q181" s="165">
        <f>IF(AD57="c",mlm1(Tech!BJ57)-mlm1(Tech!AY57),"")</f>
      </c>
      <c r="R181" s="165">
        <f>IF(AD57="c",mlmx(Tech!BK57,Tech!BJ57)-mlmx(Tech!AZ57,Tech!AY57),"")</f>
      </c>
      <c r="S181" s="165">
        <f>IF(AND(AD57="c",S14&lt;&gt;""),mlmx(Tech!BL57,Tech!BJ57)-mlmx(Tech!BA57,Tech!AY57),"")</f>
      </c>
      <c r="T181" s="165">
        <f>IF(AND(AD57="c",T14&lt;&gt;""),mlmx(Tech!BM57,Tech!BJ57)-mlmx(Tech!BB57,Tech!AY57),"")</f>
      </c>
      <c r="U181" s="165">
        <f>IF(AND(AD57="c",U14&lt;&gt;""),mlmx(Tech!BN57,Tech!BJ57)-mlmx(Tech!BC57,Tech!AY57),"")</f>
      </c>
      <c r="V181" s="165">
        <f>IF(AND(AD57="c",V14&lt;&gt;""),mlmx(Tech!BO57,Tech!BJ57)-mlmx(Tech!BD57,Tech!AY57),"")</f>
      </c>
      <c r="W181" s="165">
        <f>IF(AND(AD57="c",W14&lt;&gt;""),mlmx(Tech!BP57,Tech!BJ57)-mlmx(Tech!BE57,Tech!AY57),"")</f>
      </c>
      <c r="X181" s="165">
        <f>IF(AND(AD57="c",X14&lt;&gt;""),mlmx(Tech!BQ57,Tech!BJ57)-mlmx(Tech!BF57,Tech!AY57),"")</f>
      </c>
      <c r="Y181" s="165">
        <f>IF(AND(AD57="c",Y14&lt;&gt;""),mlmx(Tech!BR57,Tech!BJ57)-mlmx(Tech!BG57,Tech!AY57),"")</f>
      </c>
      <c r="Z181" s="165">
        <f>IF(AND(AD57="c",Z14&lt;&gt;""),mlmx(Tech!BS57,Tech!BJ57)-mlmx(Tech!BH57,Tech!AY57),"")</f>
      </c>
      <c r="AD181" s="22"/>
      <c r="AE181" s="57"/>
    </row>
    <row r="182" spans="14:31" ht="12.75">
      <c r="N182" s="166"/>
      <c r="O182" s="167" t="s">
        <v>104</v>
      </c>
      <c r="P182" s="165">
        <f>IF(AD57="c",mabs(Q182,R182,S182,T182,U182,V182,W182,X182,Y182,Z182)/COUNT(Q182:Z182),"")</f>
      </c>
      <c r="Q182" s="165">
        <f>IF(AD57="c",mlm1(Tech!CF57)-mlm1(Tech!BU57),"")</f>
      </c>
      <c r="R182" s="165">
        <f>IF(AD57="c",mlmx(Tech!CG57,Tech!CF57)-mlmx(Tech!BV57,Tech!BU57),"")</f>
      </c>
      <c r="S182" s="165">
        <f>IF(AND(AD57="c",S14&lt;&gt;""),mlmx(Tech!CH57,Tech!CF57)-mlmx(Tech!BW57,Tech!BU57),"")</f>
      </c>
      <c r="T182" s="165">
        <f>IF(AND(AD57="c",T14&lt;&gt;""),mlmx(Tech!CI57,Tech!CF57)-mlmx(Tech!BX57,Tech!BU57),"")</f>
      </c>
      <c r="U182" s="165">
        <f>IF(AND(AD57="c",U14&lt;&gt;""),mlmx(Tech!CJ57,Tech!CF57)-mlmx(Tech!BY57,Tech!BU57),"")</f>
      </c>
      <c r="V182" s="165">
        <f>IF(AND(AD57="c",V14&lt;&gt;""),mlmx(Tech!CK57,Tech!CF57)-mlmx(Tech!BZ57,Tech!BU57),"")</f>
      </c>
      <c r="W182" s="165">
        <f>IF(AND(AD57="c",W14&lt;&gt;""),mlmx(Tech!CL57,Tech!CF57)-mlmx(Tech!CA57,Tech!BU57),"")</f>
      </c>
      <c r="X182" s="165">
        <f>IF(AND(AD57="c",X14&lt;&gt;""),mlmx(Tech!CM57,Tech!CF57)-mlmx(Tech!CB57,Tech!BU57),"")</f>
      </c>
      <c r="Y182" s="165">
        <f>IF(AND(AD57="c",Y14&lt;&gt;""),mlmx(Tech!CN57,Tech!CF57)-mlmx(Tech!CC57,Tech!BU57),"")</f>
      </c>
      <c r="Z182" s="165">
        <f>IF(AND(AD57="c",Z14&lt;&gt;""),mlmx(Tech!CO57,Tech!CF57)-mlmx(Tech!CD57,Tech!BU57),"")</f>
      </c>
      <c r="AD182" s="22"/>
      <c r="AE182" s="57"/>
    </row>
    <row r="183" spans="14:31" ht="12.75">
      <c r="N183" s="166"/>
      <c r="O183" s="167" t="s">
        <v>32</v>
      </c>
      <c r="P183" s="165">
        <f>IF(AD57="c",mabs(Q183,R183,S183,T183,U183,V183,W183,X183,Y183,Z183)/COUNT(Q183:Z183),"")</f>
      </c>
      <c r="Q183" s="165">
        <f>IF(AD57="c",mlm1(Tech!DB57)-mlm1(Tech!CQ57),"")</f>
      </c>
      <c r="R183" s="165">
        <f>IF(AD57="c",mlmx(Tech!DC57,Tech!DB57)-mlmx(Tech!CR57,Tech!CQ57),"")</f>
      </c>
      <c r="S183" s="165">
        <f>IF(AND(AD57="c",S14&lt;&gt;""),mlmx(Tech!DD57,Tech!DB57)-mlmx(Tech!CS57,Tech!CQ57),"")</f>
      </c>
      <c r="T183" s="165">
        <f>IF(AND(AD57="c",T14&lt;&gt;""),mlmx(Tech!DE57,Tech!DB57)-mlmx(Tech!CT57,Tech!CQ57),"")</f>
      </c>
      <c r="U183" s="165">
        <f>IF(AND(AD57="c",U14&lt;&gt;""),mlmx(Tech!DF57,Tech!DB57)-mlmx(Tech!CU57,Tech!CQ57),"")</f>
      </c>
      <c r="V183" s="165">
        <f>IF(AND(AD57="c",V14&lt;&gt;""),mlmx(Tech!DG57,Tech!DB57)-mlmx(Tech!CV57,Tech!CQ57),"")</f>
      </c>
      <c r="W183" s="165">
        <f>IF(AND(AD57="c",W14&lt;&gt;""),mlmx(Tech!DH57,Tech!DB57)-mlmx(Tech!CW57,Tech!CQ57),"")</f>
      </c>
      <c r="X183" s="165">
        <f>IF(AND(AD57="c",X14&lt;&gt;""),mlmx(Tech!DI57,Tech!DB57)-mlmx(Tech!CX57,Tech!CQ57),"")</f>
      </c>
      <c r="Y183" s="165">
        <f>IF(AND(AD57="c",Y14&lt;&gt;""),mlmx(Tech!DJ57,Tech!DB57)-mlmx(Tech!CY57,Tech!CQ57),"")</f>
      </c>
      <c r="Z183" s="165">
        <f>IF(AND(AD57="c",Z14&lt;&gt;""),mlmx(Tech!DK57,Tech!DB57)-mlmx(Tech!CZ57,Tech!CQ57),"")</f>
      </c>
      <c r="AD183" s="22"/>
      <c r="AE183" s="57"/>
    </row>
    <row r="184" spans="14:31" ht="12.75">
      <c r="N184" s="166">
        <f>IF(AB58="","",AB58)</f>
      </c>
      <c r="O184" s="164" t="s">
        <v>31</v>
      </c>
      <c r="P184" s="165">
        <f>IF(AD58="b",mabs(Q184,R184,S184,T184,U184,V184,W184,X184,Y184,Z184)/COUNT(Q184:Z184),"")</f>
      </c>
      <c r="Q184" s="165">
        <f>IF(AD58="b",mlm1(Tech!AN58)-mlm1(Tech!AC58),"")</f>
      </c>
      <c r="R184" s="165">
        <f>IF(AD58="b",mlmx(Tech!AO58,Tech!AN58)-mlmx(Tech!AD58,Tech!AC58),"")</f>
      </c>
      <c r="S184" s="165">
        <f>IF(AND(AD58="b",S14&lt;&gt;""),mlmx(Tech!AP58,Tech!AN58)-mlmx(Tech!AE58,Tech!AC58),"")</f>
      </c>
      <c r="T184" s="165">
        <f>IF(AND(AD58="b",T14&lt;&gt;""),mlmx(Tech!AQ58,Tech!AN58)-mlmx(Tech!AF58,Tech!AC58),"")</f>
      </c>
      <c r="U184" s="165">
        <f>IF(AND(AD58="b",U14&lt;&gt;""),mlmx(Tech!AR58,Tech!AN58)-mlmx(Tech!AG58,Tech!AC58),"")</f>
      </c>
      <c r="V184" s="165">
        <f>IF(AND(AD58="b",V14&lt;&gt;""),mlmx(Tech!AS58,Tech!AN58)-mlmx(Tech!AH58,Tech!AC58),"")</f>
      </c>
      <c r="W184" s="165">
        <f>IF(AND(AD58="b",W14&lt;&gt;""),mlmx(Tech!AT58,Tech!AN58)-mlmx(Tech!AI58,Tech!AC58),"")</f>
      </c>
      <c r="X184" s="165">
        <f>IF(AND(AD58="b",X14&lt;&gt;""),mlmx(Tech!AU58,Tech!AN58)-mlmx(Tech!AJ58,Tech!AC58),"")</f>
      </c>
      <c r="Y184" s="165">
        <f>IF(AND(AD58="b",Y14&lt;&gt;""),mlmx(Tech!AV58,Tech!AN58)-mlmx(Tech!AK58,Tech!AC58),"")</f>
      </c>
      <c r="Z184" s="165">
        <f>IF(AND(AD58="b",Z14&lt;&gt;""),mlmx(Tech!AW58,Tech!AN58)-mlmx(Tech!AL58,Tech!AC58),"")</f>
      </c>
      <c r="AD184" s="22"/>
      <c r="AE184" s="57"/>
    </row>
    <row r="185" spans="14:31" ht="12.75">
      <c r="N185" s="166"/>
      <c r="O185" s="167" t="s">
        <v>103</v>
      </c>
      <c r="P185" s="165">
        <f>IF(AD58="c",mabs(Q185,R185,S185,T185,U185,V185,W185,X185,Y185,Z185)/COUNT(Q185:Z185),"")</f>
      </c>
      <c r="Q185" s="165">
        <f>IF(AD58="c",mlm1(Tech!BJ58)-mlm1(Tech!AY58),"")</f>
      </c>
      <c r="R185" s="165">
        <f>IF(AD58="c",mlmx(Tech!BK58,Tech!BJ58)-mlmx(Tech!AZ58,Tech!AY58),"")</f>
      </c>
      <c r="S185" s="165">
        <f>IF(AND(AD58="c",S14&lt;&gt;""),mlmx(Tech!BL58,Tech!BJ58)-mlmx(Tech!BA58,Tech!AY58),"")</f>
      </c>
      <c r="T185" s="165">
        <f>IF(AND(AD58="c",T14&lt;&gt;""),mlmx(Tech!BM58,Tech!BJ58)-mlmx(Tech!BB58,Tech!AY58),"")</f>
      </c>
      <c r="U185" s="165">
        <f>IF(AND(AD58="c",U14&lt;&gt;""),mlmx(Tech!BN58,Tech!BJ58)-mlmx(Tech!BC58,Tech!AY58),"")</f>
      </c>
      <c r="V185" s="165">
        <f>IF(AND(AD58="c",V14&lt;&gt;""),mlmx(Tech!BO58,Tech!BJ58)-mlmx(Tech!BD58,Tech!AY58),"")</f>
      </c>
      <c r="W185" s="165">
        <f>IF(AND(AD58="c",W14&lt;&gt;""),mlmx(Tech!BP58,Tech!BJ58)-mlmx(Tech!BE58,Tech!AY58),"")</f>
      </c>
      <c r="X185" s="165">
        <f>IF(AND(AD58="c",X14&lt;&gt;""),mlmx(Tech!BQ58,Tech!BJ58)-mlmx(Tech!BF58,Tech!AY58),"")</f>
      </c>
      <c r="Y185" s="165">
        <f>IF(AND(AD58="c",Y14&lt;&gt;""),mlmx(Tech!BR58,Tech!BJ58)-mlmx(Tech!BG58,Tech!AY58),"")</f>
      </c>
      <c r="Z185" s="165">
        <f>IF(AND(AD58="c",Z14&lt;&gt;""),mlmx(Tech!BS58,Tech!BJ58)-mlmx(Tech!BH58,Tech!AY58),"")</f>
      </c>
      <c r="AD185" s="22"/>
      <c r="AE185" s="57"/>
    </row>
    <row r="186" spans="14:31" ht="12.75">
      <c r="N186" s="166"/>
      <c r="O186" s="167" t="s">
        <v>104</v>
      </c>
      <c r="P186" s="165">
        <f>IF(AD58="c",mabs(Q186,R186,S186,T186,U186,V186,W186,X186,Y186,Z186)/COUNT(Q186:Z186),"")</f>
      </c>
      <c r="Q186" s="165">
        <f>IF(AD58="c",mlm1(Tech!CF58)-mlm1(Tech!BU58),"")</f>
      </c>
      <c r="R186" s="165">
        <f>IF(AD58="c",mlmx(Tech!CG58,Tech!CF58)-mlmx(Tech!BV58,Tech!BU58),"")</f>
      </c>
      <c r="S186" s="165">
        <f>IF(AND(AD58="c",S14&lt;&gt;""),mlmx(Tech!CH58,Tech!CF58)-mlmx(Tech!BW58,Tech!BU58),"")</f>
      </c>
      <c r="T186" s="165">
        <f>IF(AND(AD58="c",T14&lt;&gt;""),mlmx(Tech!CI58,Tech!CF58)-mlmx(Tech!BX58,Tech!BU58),"")</f>
      </c>
      <c r="U186" s="165">
        <f>IF(AND(AD58="c",U14&lt;&gt;""),mlmx(Tech!CJ58,Tech!CF58)-mlmx(Tech!BY58,Tech!BU58),"")</f>
      </c>
      <c r="V186" s="165">
        <f>IF(AND(AD58="c",V14&lt;&gt;""),mlmx(Tech!CK58,Tech!CF58)-mlmx(Tech!BZ58,Tech!BU58),"")</f>
      </c>
      <c r="W186" s="165">
        <f>IF(AND(AD58="c",W14&lt;&gt;""),mlmx(Tech!CL58,Tech!CF58)-mlmx(Tech!CA58,Tech!BU58),"")</f>
      </c>
      <c r="X186" s="165">
        <f>IF(AND(AD58="c",X14&lt;&gt;""),mlmx(Tech!CM58,Tech!CF58)-mlmx(Tech!CB58,Tech!BU58),"")</f>
      </c>
      <c r="Y186" s="165">
        <f>IF(AND(AD58="c",Y14&lt;&gt;""),mlmx(Tech!CN58,Tech!CF58)-mlmx(Tech!CC58,Tech!BU58),"")</f>
      </c>
      <c r="Z186" s="165">
        <f>IF(AND(AD58="c",Z14&lt;&gt;""),mlmx(Tech!CO58,Tech!CF58)-mlmx(Tech!CD58,Tech!BU58),"")</f>
      </c>
      <c r="AD186" s="22"/>
      <c r="AE186" s="57"/>
    </row>
    <row r="187" spans="14:31" ht="12.75">
      <c r="N187" s="166"/>
      <c r="O187" s="167" t="s">
        <v>32</v>
      </c>
      <c r="P187" s="165">
        <f>IF(AD58="c",mabs(Q187,R187,S187,T187,U187,V187,W187,X187,Y187,Z187)/COUNT(Q187:Z187),"")</f>
      </c>
      <c r="Q187" s="165">
        <f>IF(AD58="c",mlm1(Tech!DB58)-mlm1(Tech!CQ58),"")</f>
      </c>
      <c r="R187" s="165">
        <f>IF(AD58="c",mlmx(Tech!DC58,Tech!DB58)-mlmx(Tech!CR58,Tech!CQ58),"")</f>
      </c>
      <c r="S187" s="165">
        <f>IF(AND(AD58="c",S14&lt;&gt;""),mlmx(Tech!DD58,Tech!DB58)-mlmx(Tech!CS58,Tech!CQ58),"")</f>
      </c>
      <c r="T187" s="165">
        <f>IF(AND(AD58="c",T14&lt;&gt;""),mlmx(Tech!DE58,Tech!DB58)-mlmx(Tech!CT58,Tech!CQ58),"")</f>
      </c>
      <c r="U187" s="165">
        <f>IF(AND(AD58="c",U14&lt;&gt;""),mlmx(Tech!DF58,Tech!DB58)-mlmx(Tech!CU58,Tech!CQ58),"")</f>
      </c>
      <c r="V187" s="165">
        <f>IF(AND(AD58="c",V14&lt;&gt;""),mlmx(Tech!DG58,Tech!DB58)-mlmx(Tech!CV58,Tech!CQ58),"")</f>
      </c>
      <c r="W187" s="165">
        <f>IF(AND(AD58="c",W14&lt;&gt;""),mlmx(Tech!DH58,Tech!DB58)-mlmx(Tech!CW58,Tech!CQ58),"")</f>
      </c>
      <c r="X187" s="165">
        <f>IF(AND(AD58="c",X14&lt;&gt;""),mlmx(Tech!DI58,Tech!DB58)-mlmx(Tech!CX58,Tech!CQ58),"")</f>
      </c>
      <c r="Y187" s="165">
        <f>IF(AND(AD58="c",Y14&lt;&gt;""),mlmx(Tech!DJ58,Tech!DB58)-mlmx(Tech!CY58,Tech!CQ58),"")</f>
      </c>
      <c r="Z187" s="165">
        <f>IF(AND(AD58="c",Z14&lt;&gt;""),mlmx(Tech!DK58,Tech!DB58)-mlmx(Tech!CZ58,Tech!CQ58),"")</f>
      </c>
      <c r="AD187" s="22"/>
      <c r="AE187" s="57"/>
    </row>
    <row r="188" spans="14:31" ht="12.75">
      <c r="N188" s="166">
        <f>IF(AB59="","",AB59)</f>
      </c>
      <c r="O188" s="164" t="s">
        <v>31</v>
      </c>
      <c r="P188" s="165">
        <f>IF(AD59="b",mabs(Q188,R188,S188,T188,U188,V188,W188,X188,Y188,Z188)/COUNT(Q188:Z188),"")</f>
      </c>
      <c r="Q188" s="165">
        <f>IF(AD59="b",mlm1(Tech!AN59)-mlm1(Tech!AC59),"")</f>
      </c>
      <c r="R188" s="165">
        <f>IF(AD59="b",mlmx(Tech!AO59,Tech!AN59)-mlmx(Tech!AD59,Tech!AC59),"")</f>
      </c>
      <c r="S188" s="165">
        <f>IF(AND(AD59="b",S14&lt;&gt;""),mlmx(Tech!AP59,Tech!AN59)-mlmx(Tech!AE59,Tech!AC59),"")</f>
      </c>
      <c r="T188" s="165">
        <f>IF(AND(AD59="b",T14&lt;&gt;""),mlmx(Tech!AQ59,Tech!AN59)-mlmx(Tech!AF59,Tech!AC59),"")</f>
      </c>
      <c r="U188" s="165">
        <f>IF(AND(AD59="b",U14&lt;&gt;""),mlmx(Tech!AR59,Tech!AN59)-mlmx(Tech!AG59,Tech!AC59),"")</f>
      </c>
      <c r="V188" s="165">
        <f>IF(AND(AD59="b",V14&lt;&gt;""),mlmx(Tech!AS59,Tech!AN59)-mlmx(Tech!AH59,Tech!AC59),"")</f>
      </c>
      <c r="W188" s="165">
        <f>IF(AND(AD59="b",W14&lt;&gt;""),mlmx(Tech!AT59,Tech!AN59)-mlmx(Tech!AI59,Tech!AC59),"")</f>
      </c>
      <c r="X188" s="165">
        <f>IF(AND(AD59="b",X14&lt;&gt;""),mlmx(Tech!AU59,Tech!AN59)-mlmx(Tech!AJ59,Tech!AC59),"")</f>
      </c>
      <c r="Y188" s="165">
        <f>IF(AND(AD59="b",Y14&lt;&gt;""),mlmx(Tech!AV59,Tech!AN59)-mlmx(Tech!AK59,Tech!AC59),"")</f>
      </c>
      <c r="Z188" s="165">
        <f>IF(AND(AD59="b",Z14&lt;&gt;""),mlmx(Tech!AW59,Tech!AN59)-mlmx(Tech!AL59,Tech!AC59),"")</f>
      </c>
      <c r="AD188" s="22"/>
      <c r="AE188" s="57"/>
    </row>
    <row r="189" spans="14:31" ht="12.75">
      <c r="N189" s="166"/>
      <c r="O189" s="167" t="s">
        <v>103</v>
      </c>
      <c r="P189" s="165">
        <f>IF(AD59="c",mabs(Q189,R189,S189,T189,U189,V189,W189,X189,Y189,Z189)/COUNT(Q189:Z189),"")</f>
      </c>
      <c r="Q189" s="165">
        <f>IF(AD59="c",mlm1(Tech!BJ59)-mlm1(Tech!AY59),"")</f>
      </c>
      <c r="R189" s="165">
        <f>IF(AD59="c",mlmx(Tech!BK59,Tech!BJ59)-mlmx(Tech!AZ59,Tech!AY59),"")</f>
      </c>
      <c r="S189" s="165">
        <f>IF(AND(AD59="c",S14&lt;&gt;""),mlmx(Tech!BL59,Tech!BJ59)-mlmx(Tech!BA59,Tech!AY59),"")</f>
      </c>
      <c r="T189" s="165">
        <f>IF(AND(AD59="c",T14&lt;&gt;""),mlmx(Tech!BM59,Tech!BJ59)-mlmx(Tech!BB59,Tech!AY59),"")</f>
      </c>
      <c r="U189" s="165">
        <f>IF(AND(AD59="c",U14&lt;&gt;""),mlmx(Tech!BN59,Tech!BJ59)-mlmx(Tech!BC59,Tech!AY59),"")</f>
      </c>
      <c r="V189" s="165">
        <f>IF(AND(AD59="c",V14&lt;&gt;""),mlmx(Tech!BO59,Tech!BJ59)-mlmx(Tech!BD59,Tech!AY59),"")</f>
      </c>
      <c r="W189" s="165">
        <f>IF(AND(AD59="c",W14&lt;&gt;""),mlmx(Tech!BP59,Tech!BJ59)-mlmx(Tech!BE59,Tech!AY59),"")</f>
      </c>
      <c r="X189" s="165">
        <f>IF(AND(AD59="c",X14&lt;&gt;""),mlmx(Tech!BQ59,Tech!BJ59)-mlmx(Tech!BF59,Tech!AY59),"")</f>
      </c>
      <c r="Y189" s="165">
        <f>IF(AND(AD59="c",Y14&lt;&gt;""),mlmx(Tech!BR59,Tech!BJ59)-mlmx(Tech!BG59,Tech!AY59),"")</f>
      </c>
      <c r="Z189" s="165">
        <f>IF(AND(AD59="c",Z14&lt;&gt;""),mlmx(Tech!BS59,Tech!BJ59)-mlmx(Tech!BH59,Tech!AY59),"")</f>
      </c>
      <c r="AD189" s="22"/>
      <c r="AE189" s="57"/>
    </row>
    <row r="190" spans="14:31" ht="12.75">
      <c r="N190" s="166"/>
      <c r="O190" s="167" t="s">
        <v>104</v>
      </c>
      <c r="P190" s="165">
        <f>IF(AD59="c",mabs(Q190,R190,S190,T190,U190,V190,W190,X190,Y190,Z190)/COUNT(Q190:Z190),"")</f>
      </c>
      <c r="Q190" s="165">
        <f>IF(AD59="c",mlm1(Tech!CF59)-mlm1(Tech!BU59),"")</f>
      </c>
      <c r="R190" s="165">
        <f>IF(AD59="c",mlmx(Tech!CG59,Tech!CF59)-mlmx(Tech!BV59,Tech!BU59),"")</f>
      </c>
      <c r="S190" s="165">
        <f>IF(AND(AD59="c",S14&lt;&gt;""),mlmx(Tech!CH59,Tech!CF59)-mlmx(Tech!BW59,Tech!BU59),"")</f>
      </c>
      <c r="T190" s="165">
        <f>IF(AND(AD59="c",T14&lt;&gt;""),mlmx(Tech!CI59,Tech!CF59)-mlmx(Tech!BX59,Tech!BU59),"")</f>
      </c>
      <c r="U190" s="165">
        <f>IF(AND(AD59="c",U14&lt;&gt;""),mlmx(Tech!CJ59,Tech!CF59)-mlmx(Tech!BY59,Tech!BU59),"")</f>
      </c>
      <c r="V190" s="165">
        <f>IF(AND(AD59="c",V14&lt;&gt;""),mlmx(Tech!CK59,Tech!CF59)-mlmx(Tech!BZ59,Tech!BU59),"")</f>
      </c>
      <c r="W190" s="165">
        <f>IF(AND(AD59="c",W14&lt;&gt;""),mlmx(Tech!CL59,Tech!CF59)-mlmx(Tech!CA59,Tech!BU59),"")</f>
      </c>
      <c r="X190" s="165">
        <f>IF(AND(AD59="c",X14&lt;&gt;""),mlmx(Tech!CM59,Tech!CF59)-mlmx(Tech!CB59,Tech!BU59),"")</f>
      </c>
      <c r="Y190" s="165">
        <f>IF(AND(AD59="c",Y14&lt;&gt;""),mlmx(Tech!CN59,Tech!CF59)-mlmx(Tech!CC59,Tech!BU59),"")</f>
      </c>
      <c r="Z190" s="165">
        <f>IF(AND(AD59="c",Z14&lt;&gt;""),mlmx(Tech!CO59,Tech!CF59)-mlmx(Tech!CD59,Tech!BU59),"")</f>
      </c>
      <c r="AD190" s="22"/>
      <c r="AE190" s="57"/>
    </row>
    <row r="191" spans="14:31" ht="12.75">
      <c r="N191" s="166"/>
      <c r="O191" s="167" t="s">
        <v>32</v>
      </c>
      <c r="P191" s="165">
        <f>IF(AD59="c",mabs(Q191,R191,S191,T191,U191,V191,W191,X191,Y191,Z191)/COUNT(Q191:Z191),"")</f>
      </c>
      <c r="Q191" s="165">
        <f>IF(AD59="c",mlm1(Tech!DB59)-mlm1(Tech!CQ59),"")</f>
      </c>
      <c r="R191" s="165">
        <f>IF(AD59="c",mlmx(Tech!DC59,Tech!DB59)-mlmx(Tech!CR59,Tech!CQ59),"")</f>
      </c>
      <c r="S191" s="165">
        <f>IF(AND(AD59="c",S14&lt;&gt;""),mlmx(Tech!DD59,Tech!DB59)-mlmx(Tech!CS59,Tech!CQ59),"")</f>
      </c>
      <c r="T191" s="165">
        <f>IF(AND(AD59="c",T14&lt;&gt;""),mlmx(Tech!DE59,Tech!DB59)-mlmx(Tech!CT59,Tech!CQ59),"")</f>
      </c>
      <c r="U191" s="165">
        <f>IF(AND(AD59="c",U14&lt;&gt;""),mlmx(Tech!DF59,Tech!DB59)-mlmx(Tech!CU59,Tech!CQ59),"")</f>
      </c>
      <c r="V191" s="165">
        <f>IF(AND(AD59="c",V14&lt;&gt;""),mlmx(Tech!DG59,Tech!DB59)-mlmx(Tech!CV59,Tech!CQ59),"")</f>
      </c>
      <c r="W191" s="165">
        <f>IF(AND(AD59="c",W14&lt;&gt;""),mlmx(Tech!DH59,Tech!DB59)-mlmx(Tech!CW59,Tech!CQ59),"")</f>
      </c>
      <c r="X191" s="165">
        <f>IF(AND(AD59="c",X14&lt;&gt;""),mlmx(Tech!DI59,Tech!DB59)-mlmx(Tech!CX59,Tech!CQ59),"")</f>
      </c>
      <c r="Y191" s="165">
        <f>IF(AND(AD59="c",Y14&lt;&gt;""),mlmx(Tech!DJ59,Tech!DB59)-mlmx(Tech!CY59,Tech!CQ59),"")</f>
      </c>
      <c r="Z191" s="165">
        <f>IF(AND(AD59="c",Z14&lt;&gt;""),mlmx(Tech!DK59,Tech!DB59)-mlmx(Tech!CZ59,Tech!CQ59),"")</f>
      </c>
      <c r="AD191" s="22"/>
      <c r="AE191" s="57"/>
    </row>
    <row r="192" spans="14:31" ht="12.75">
      <c r="N192" s="166">
        <f>IF(AB60="","",AB60)</f>
      </c>
      <c r="O192" s="164" t="s">
        <v>31</v>
      </c>
      <c r="P192" s="165">
        <f>IF(AD60="b",mabs(Q192,R192,S192,T192,U192,V192,W192,X192,Y192,Z192)/COUNT(Q192:Z192),"")</f>
      </c>
      <c r="Q192" s="165">
        <f>IF(AD60="b",mlm1(Tech!AN60)-mlm1(Tech!AC60),"")</f>
      </c>
      <c r="R192" s="165">
        <f>IF(AD60="b",mlmx(Tech!AO60,Tech!AN60)-mlmx(Tech!AD60,Tech!AC60),"")</f>
      </c>
      <c r="S192" s="165">
        <f>IF(AND(AD60="b",S14&lt;&gt;""),mlmx(Tech!AP60,Tech!AN60)-mlmx(Tech!AE60,Tech!AC60),"")</f>
      </c>
      <c r="T192" s="165">
        <f>IF(AND(AD60="b",T14&lt;&gt;""),mlmx(Tech!AQ60,Tech!AN60)-mlmx(Tech!AF60,Tech!AC60),"")</f>
      </c>
      <c r="U192" s="165">
        <f>IF(AND(AD60="b",U14&lt;&gt;""),mlmx(Tech!AR60,Tech!AN60)-mlmx(Tech!AG60,Tech!AC60),"")</f>
      </c>
      <c r="V192" s="165">
        <f>IF(AND(AD60="b",V14&lt;&gt;""),mlmx(Tech!AS60,Tech!AN60)-mlmx(Tech!AH60,Tech!AC60),"")</f>
      </c>
      <c r="W192" s="165">
        <f>IF(AND(AD60="b",W14&lt;&gt;""),mlmx(Tech!AT60,Tech!AN60)-mlmx(Tech!AI60,Tech!AC60),"")</f>
      </c>
      <c r="X192" s="165">
        <f>IF(AND(AD60="b",X14&lt;&gt;""),mlmx(Tech!AU60,Tech!AN60)-mlmx(Tech!AJ60,Tech!AC60),"")</f>
      </c>
      <c r="Y192" s="165">
        <f>IF(AND(AD60="b",Y14&lt;&gt;""),mlmx(Tech!AV60,Tech!AN60)-mlmx(Tech!AK60,Tech!AC60),"")</f>
      </c>
      <c r="Z192" s="165">
        <f>IF(AND(AD60="b",Z14&lt;&gt;""),mlmx(Tech!AW60,Tech!AN60)-mlmx(Tech!AL60,Tech!AC60),"")</f>
      </c>
      <c r="AD192" s="22"/>
      <c r="AE192" s="57"/>
    </row>
    <row r="193" spans="14:31" ht="12.75">
      <c r="N193" s="166"/>
      <c r="O193" s="167" t="s">
        <v>103</v>
      </c>
      <c r="P193" s="165">
        <f>IF(AD60="c",mabs(Q193,R193,S193,T193,U193,V193,W193,X193,Y193,Z193)/COUNT(Q193:Z193),"")</f>
      </c>
      <c r="Q193" s="165">
        <f>IF(AD60="c",mlm1(Tech!BJ60)-mlm1(Tech!AY60),"")</f>
      </c>
      <c r="R193" s="165">
        <f>IF(AD60="c",mlmx(Tech!BK60,Tech!BJ60)-mlmx(Tech!AZ60,Tech!AY60),"")</f>
      </c>
      <c r="S193" s="165">
        <f>IF(AND(AD60="c",S14&lt;&gt;""),mlmx(Tech!BL60,Tech!BJ60)-mlmx(Tech!BA60,Tech!AY60),"")</f>
      </c>
      <c r="T193" s="165">
        <f>IF(AND(AD60="c",T14&lt;&gt;""),mlmx(Tech!BM60,Tech!BJ60)-mlmx(Tech!BB60,Tech!AY60),"")</f>
      </c>
      <c r="U193" s="165">
        <f>IF(AND(AD60="c",U14&lt;&gt;""),mlmx(Tech!BN60,Tech!BJ60)-mlmx(Tech!BC60,Tech!AY60),"")</f>
      </c>
      <c r="V193" s="165">
        <f>IF(AND(AD60="c",V14&lt;&gt;""),mlmx(Tech!BO60,Tech!BJ60)-mlmx(Tech!BD60,Tech!AY60),"")</f>
      </c>
      <c r="W193" s="165">
        <f>IF(AND(AD60="c",W14&lt;&gt;""),mlmx(Tech!BP60,Tech!BJ60)-mlmx(Tech!BE60,Tech!AY60),"")</f>
      </c>
      <c r="X193" s="165">
        <f>IF(AND(AD60="c",X14&lt;&gt;""),mlmx(Tech!BQ60,Tech!BJ60)-mlmx(Tech!BF60,Tech!AY60),"")</f>
      </c>
      <c r="Y193" s="165">
        <f>IF(AND(AD60="c",Y14&lt;&gt;""),mlmx(Tech!BR60,Tech!BJ60)-mlmx(Tech!BG60,Tech!AY60),"")</f>
      </c>
      <c r="Z193" s="165">
        <f>IF(AND(AD60="c",Z14&lt;&gt;""),mlmx(Tech!BS60,Tech!BJ60)-mlmx(Tech!BH60,Tech!AY60),"")</f>
      </c>
      <c r="AD193" s="22"/>
      <c r="AE193" s="57"/>
    </row>
    <row r="194" spans="14:31" ht="12.75">
      <c r="N194" s="166"/>
      <c r="O194" s="167" t="s">
        <v>104</v>
      </c>
      <c r="P194" s="165">
        <f>IF(AD60="c",mabs(Q194,R194,S194,T194,U194,V194,W194,X194,Y194,Z194)/COUNT(Q194:Z194),"")</f>
      </c>
      <c r="Q194" s="165">
        <f>IF(AD60="c",mlm1(Tech!CF60)-mlm1(Tech!BU60),"")</f>
      </c>
      <c r="R194" s="165">
        <f>IF(AD60="c",mlmx(Tech!CG60,Tech!CF60)-mlmx(Tech!BV60,Tech!BU60),"")</f>
      </c>
      <c r="S194" s="165">
        <f>IF(AND(AD60="c",S14&lt;&gt;""),mlmx(Tech!CH60,Tech!CF60)-mlmx(Tech!BW60,Tech!BU60),"")</f>
      </c>
      <c r="T194" s="165">
        <f>IF(AND(AD60="c",T14&lt;&gt;""),mlmx(Tech!CI60,Tech!CF60)-mlmx(Tech!BX60,Tech!BU60),"")</f>
      </c>
      <c r="U194" s="165">
        <f>IF(AND(AD60="c",U14&lt;&gt;""),mlmx(Tech!CJ60,Tech!CF60)-mlmx(Tech!BY60,Tech!BU60),"")</f>
      </c>
      <c r="V194" s="165">
        <f>IF(AND(AD60="c",V14&lt;&gt;""),mlmx(Tech!CK60,Tech!CF60)-mlmx(Tech!BZ60,Tech!BU60),"")</f>
      </c>
      <c r="W194" s="165">
        <f>IF(AND(AD60="c",W14&lt;&gt;""),mlmx(Tech!CL60,Tech!CF60)-mlmx(Tech!CA60,Tech!BU60),"")</f>
      </c>
      <c r="X194" s="165">
        <f>IF(AND(AD60="c",X14&lt;&gt;""),mlmx(Tech!CM60,Tech!CF60)-mlmx(Tech!CB60,Tech!BU60),"")</f>
      </c>
      <c r="Y194" s="165">
        <f>IF(AND(AD60="c",Y14&lt;&gt;""),mlmx(Tech!CN60,Tech!CF60)-mlmx(Tech!CC60,Tech!BU60),"")</f>
      </c>
      <c r="Z194" s="165">
        <f>IF(AND(AD60="c",Z14&lt;&gt;""),mlmx(Tech!CO60,Tech!CF60)-mlmx(Tech!CD60,Tech!BU60),"")</f>
      </c>
      <c r="AD194" s="22"/>
      <c r="AE194" s="57"/>
    </row>
    <row r="195" spans="14:31" ht="12.75">
      <c r="N195" s="166"/>
      <c r="O195" s="167" t="s">
        <v>32</v>
      </c>
      <c r="P195" s="165">
        <f>IF(AD60="c",mabs(Q195,R195,S195,T195,U195,V195,W195,X195,Y195,Z195)/COUNT(Q195:Z195),"")</f>
      </c>
      <c r="Q195" s="165">
        <f>IF(AD60="c",mlm1(Tech!DB60)-mlm1(Tech!CQ60),"")</f>
      </c>
      <c r="R195" s="165">
        <f>IF(AD60="c",mlmx(Tech!DC60,Tech!DB60)-mlmx(Tech!CR60,Tech!CQ60),"")</f>
      </c>
      <c r="S195" s="165">
        <f>IF(AND(AD60="c",S14&lt;&gt;""),mlmx(Tech!DD60,Tech!DB60)-mlmx(Tech!CS60,Tech!CQ60),"")</f>
      </c>
      <c r="T195" s="165">
        <f>IF(AND(AD60="c",T14&lt;&gt;""),mlmx(Tech!DE60,Tech!DB60)-mlmx(Tech!CT60,Tech!CQ60),"")</f>
      </c>
      <c r="U195" s="165">
        <f>IF(AND(AD60="c",U14&lt;&gt;""),mlmx(Tech!DF60,Tech!DB60)-mlmx(Tech!CU60,Tech!CQ60),"")</f>
      </c>
      <c r="V195" s="165">
        <f>IF(AND(AD60="c",V14&lt;&gt;""),mlmx(Tech!DG60,Tech!DB60)-mlmx(Tech!CV60,Tech!CQ60),"")</f>
      </c>
      <c r="W195" s="165">
        <f>IF(AND(AD60="c",W14&lt;&gt;""),mlmx(Tech!DH60,Tech!DB60)-mlmx(Tech!CW60,Tech!CQ60),"")</f>
      </c>
      <c r="X195" s="165">
        <f>IF(AND(AD60="c",X14&lt;&gt;""),mlmx(Tech!DI60,Tech!DB60)-mlmx(Tech!CX60,Tech!CQ60),"")</f>
      </c>
      <c r="Y195" s="165">
        <f>IF(AND(AD60="c",Y14&lt;&gt;""),mlmx(Tech!DJ60,Tech!DB60)-mlmx(Tech!CY60,Tech!CQ60),"")</f>
      </c>
      <c r="Z195" s="165">
        <f>IF(AND(AD60="c",Z14&lt;&gt;""),mlmx(Tech!DK60,Tech!DB60)-mlmx(Tech!CZ60,Tech!CQ60),"")</f>
      </c>
      <c r="AD195" s="22"/>
      <c r="AE195" s="57"/>
    </row>
    <row r="196" spans="14:31" ht="12.75">
      <c r="N196" s="166">
        <f>IF(AB61="","",AB61)</f>
      </c>
      <c r="O196" s="164" t="s">
        <v>31</v>
      </c>
      <c r="P196" s="165">
        <f>IF(AD61="b",mabs(Q196,R196,S196,T196,U196,V196,W196,X196,Y196,Z196)/COUNT(Q196:Z196),"")</f>
      </c>
      <c r="Q196" s="165">
        <f>IF(AD61="b",mlm1(Tech!AN61)-mlm1(Tech!AC61),"")</f>
      </c>
      <c r="R196" s="165">
        <f>IF(AD61="b",mlmx(Tech!AO61,Tech!AN61)-mlmx(Tech!AD61,Tech!AC61),"")</f>
      </c>
      <c r="S196" s="165">
        <f>IF(AND(AD61="b",S14&lt;&gt;""),mlmx(Tech!AP61,Tech!AN61)-mlmx(Tech!AE61,Tech!AC61),"")</f>
      </c>
      <c r="T196" s="165">
        <f>IF(AND(AD61="b",T14&lt;&gt;""),mlmx(Tech!AQ61,Tech!AN61)-mlmx(Tech!AF61,Tech!AC61),"")</f>
      </c>
      <c r="U196" s="165">
        <f>IF(AND(AD61="b",U14&lt;&gt;""),mlmx(Tech!AR61,Tech!AN61)-mlmx(Tech!AG61,Tech!AC61),"")</f>
      </c>
      <c r="V196" s="165">
        <f>IF(AND(AD61="b",V14&lt;&gt;""),mlmx(Tech!AS61,Tech!AN61)-mlmx(Tech!AH61,Tech!AC61),"")</f>
      </c>
      <c r="W196" s="165">
        <f>IF(AND(AD61="b",W14&lt;&gt;""),mlmx(Tech!AT61,Tech!AN61)-mlmx(Tech!AI61,Tech!AC61),"")</f>
      </c>
      <c r="X196" s="165">
        <f>IF(AND(AD61="b",X14&lt;&gt;""),mlmx(Tech!AU61,Tech!AN61)-mlmx(Tech!AJ61,Tech!AC61),"")</f>
      </c>
      <c r="Y196" s="165">
        <f>IF(AND(AD61="b",Y14&lt;&gt;""),mlmx(Tech!AV61,Tech!AN61)-mlmx(Tech!AK61,Tech!AC61),"")</f>
      </c>
      <c r="Z196" s="165">
        <f>IF(AND(AD61="b",Z14&lt;&gt;""),mlmx(Tech!AW61,Tech!AN61)-mlmx(Tech!AL61,Tech!AC61),"")</f>
      </c>
      <c r="AD196" s="22"/>
      <c r="AE196" s="57"/>
    </row>
    <row r="197" spans="14:31" ht="12.75">
      <c r="N197" s="166"/>
      <c r="O197" s="167" t="s">
        <v>103</v>
      </c>
      <c r="P197" s="165">
        <f>IF(AD61="c",mabs(Q197,R197,S197,T197,U197,V197,W197,X197,Y197,Z197)/COUNT(Q197:Z197),"")</f>
      </c>
      <c r="Q197" s="165">
        <f>IF(AD61="c",mlm1(Tech!BJ61)-mlm1(Tech!AY61),"")</f>
      </c>
      <c r="R197" s="165">
        <f>IF(AD61="c",mlmx(Tech!BK61,Tech!BJ61)-mlmx(Tech!AZ61,Tech!AY61),"")</f>
      </c>
      <c r="S197" s="165">
        <f>IF(AND(AD61="c",S14&lt;&gt;""),mlmx(Tech!BL61,Tech!BJ61)-mlmx(Tech!BA61,Tech!AY61),"")</f>
      </c>
      <c r="T197" s="165">
        <f>IF(AND(AD61="c",T14&lt;&gt;""),mlmx(Tech!BM61,Tech!BJ61)-mlmx(Tech!BB61,Tech!AY61),"")</f>
      </c>
      <c r="U197" s="165">
        <f>IF(AND(AD61="c",U14&lt;&gt;""),mlmx(Tech!BN61,Tech!BJ61)-mlmx(Tech!BC61,Tech!AY61),"")</f>
      </c>
      <c r="V197" s="165">
        <f>IF(AND(AD61="c",V14&lt;&gt;""),mlmx(Tech!BO61,Tech!BJ61)-mlmx(Tech!BD61,Tech!AY61),"")</f>
      </c>
      <c r="W197" s="165">
        <f>IF(AND(AD61="c",W14&lt;&gt;""),mlmx(Tech!BP61,Tech!BJ61)-mlmx(Tech!BE61,Tech!AY61),"")</f>
      </c>
      <c r="X197" s="165">
        <f>IF(AND(AD61="c",X14&lt;&gt;""),mlmx(Tech!BQ61,Tech!BJ61)-mlmx(Tech!BF61,Tech!AY61),"")</f>
      </c>
      <c r="Y197" s="165">
        <f>IF(AND(AD61="c",Y14&lt;&gt;""),mlmx(Tech!BR61,Tech!BJ61)-mlmx(Tech!BG61,Tech!AY61),"")</f>
      </c>
      <c r="Z197" s="165">
        <f>IF(AND(AD61="c",Z14&lt;&gt;""),mlmx(Tech!BS61,Tech!BJ61)-mlmx(Tech!BH61,Tech!AY61),"")</f>
      </c>
      <c r="AD197" s="22"/>
      <c r="AE197" s="57"/>
    </row>
    <row r="198" spans="14:31" ht="12.75">
      <c r="N198" s="166"/>
      <c r="O198" s="167" t="s">
        <v>104</v>
      </c>
      <c r="P198" s="165">
        <f>IF(AD61="c",mabs(Q198,R198,S198,T198,U198,V198,W198,X198,Y198,Z198)/COUNT(Q198:Z198),"")</f>
      </c>
      <c r="Q198" s="165">
        <f>IF(AD61="c",mlm1(Tech!CF61)-mlm1(Tech!BU61),"")</f>
      </c>
      <c r="R198" s="165">
        <f>IF(AD61="c",mlmx(Tech!CG61,Tech!CF61)-mlmx(Tech!BV61,Tech!BU61),"")</f>
      </c>
      <c r="S198" s="165">
        <f>IF(AND(AD61="c",S14&lt;&gt;""),mlmx(Tech!CH61,Tech!CF61)-mlmx(Tech!BW61,Tech!BU61),"")</f>
      </c>
      <c r="T198" s="165">
        <f>IF(AND(AD61="c",T14&lt;&gt;""),mlmx(Tech!CI61,Tech!CF61)-mlmx(Tech!BX61,Tech!BU61),"")</f>
      </c>
      <c r="U198" s="165">
        <f>IF(AND(AD61="c",U14&lt;&gt;""),mlmx(Tech!CJ61,Tech!CF61)-mlmx(Tech!BY61,Tech!BU61),"")</f>
      </c>
      <c r="V198" s="165">
        <f>IF(AND(AD61="c",V14&lt;&gt;""),mlmx(Tech!CK61,Tech!CF61)-mlmx(Tech!BZ61,Tech!BU61),"")</f>
      </c>
      <c r="W198" s="165">
        <f>IF(AND(AD61="c",W14&lt;&gt;""),mlmx(Tech!CL61,Tech!CF61)-mlmx(Tech!CA61,Tech!BU61),"")</f>
      </c>
      <c r="X198" s="165">
        <f>IF(AND(AD61="c",X14&lt;&gt;""),mlmx(Tech!CM61,Tech!CF61)-mlmx(Tech!CB61,Tech!BU61),"")</f>
      </c>
      <c r="Y198" s="165">
        <f>IF(AND(AD61="c",Y14&lt;&gt;""),mlmx(Tech!CN61,Tech!CF61)-mlmx(Tech!CC61,Tech!BU61),"")</f>
      </c>
      <c r="Z198" s="165">
        <f>IF(AND(AD61="c",Z14&lt;&gt;""),mlmx(Tech!CO61,Tech!CF61)-mlmx(Tech!CD61,Tech!BU61),"")</f>
      </c>
      <c r="AD198" s="22"/>
      <c r="AE198" s="57"/>
    </row>
    <row r="199" spans="14:31" ht="12.75">
      <c r="N199" s="166"/>
      <c r="O199" s="167" t="s">
        <v>32</v>
      </c>
      <c r="P199" s="165">
        <f>IF(AD61="c",mabs(Q199,R199,S199,T199,U199,V199,W199,X199,Y199,Z199)/COUNT(Q199:Z199),"")</f>
      </c>
      <c r="Q199" s="165">
        <f>IF(AD61="c",mlm1(Tech!DB61)-mlm1(Tech!CQ61),"")</f>
      </c>
      <c r="R199" s="165">
        <f>IF(AD61="c",mlmx(Tech!DC61,Tech!DB61)-mlmx(Tech!CR61,Tech!CQ61),"")</f>
      </c>
      <c r="S199" s="165">
        <f>IF(AND(AD61="c",S14&lt;&gt;""),mlmx(Tech!DD61,Tech!DB61)-mlmx(Tech!CS61,Tech!CQ61),"")</f>
      </c>
      <c r="T199" s="165">
        <f>IF(AND(AD61="c",T14&lt;&gt;""),mlmx(Tech!DE61,Tech!DB61)-mlmx(Tech!CT61,Tech!CQ61),"")</f>
      </c>
      <c r="U199" s="165">
        <f>IF(AND(AD61="c",U14&lt;&gt;""),mlmx(Tech!DF61,Tech!DB61)-mlmx(Tech!CU61,Tech!CQ61),"")</f>
      </c>
      <c r="V199" s="165">
        <f>IF(AND(AD61="c",V14&lt;&gt;""),mlmx(Tech!DG61,Tech!DB61)-mlmx(Tech!CV61,Tech!CQ61),"")</f>
      </c>
      <c r="W199" s="165">
        <f>IF(AND(AD61="c",W14&lt;&gt;""),mlmx(Tech!DH61,Tech!DB61)-mlmx(Tech!CW61,Tech!CQ61),"")</f>
      </c>
      <c r="X199" s="165">
        <f>IF(AND(AD61="c",X14&lt;&gt;""),mlmx(Tech!DI61,Tech!DB61)-mlmx(Tech!CX61,Tech!CQ61),"")</f>
      </c>
      <c r="Y199" s="165">
        <f>IF(AND(AD61="c",Y14&lt;&gt;""),mlmx(Tech!DJ61,Tech!DB61)-mlmx(Tech!CY61,Tech!CQ61),"")</f>
      </c>
      <c r="Z199" s="165">
        <f>IF(AND(AD61="c",Z14&lt;&gt;""),mlmx(Tech!DK61,Tech!DB61)-mlmx(Tech!CZ61,Tech!CQ61),"")</f>
      </c>
      <c r="AD199" s="22"/>
      <c r="AE199" s="57"/>
    </row>
    <row r="200" spans="14:31" ht="12.75">
      <c r="N200" s="166">
        <f>IF(AB62="","",AB62)</f>
      </c>
      <c r="O200" s="164" t="s">
        <v>31</v>
      </c>
      <c r="P200" s="165">
        <f>IF(AD62="b",mabs(Q200,R200,S200,T200,U200,V200,W200,X200,Y200,Z200)/COUNT(Q200:Z200),"")</f>
      </c>
      <c r="Q200" s="165">
        <f>IF(AD62="b",mlm1(Tech!AN62)-mlm1(Tech!AC62),"")</f>
      </c>
      <c r="R200" s="165">
        <f>IF(AD62="b",mlmx(Tech!AO62,Tech!AN62)-mlmx(Tech!AD62,Tech!AC62),"")</f>
      </c>
      <c r="S200" s="165">
        <f>IF(AND(AD62="b",S14&lt;&gt;""),mlmx(Tech!AP62,Tech!AN62)-mlmx(Tech!AE62,Tech!AC62),"")</f>
      </c>
      <c r="T200" s="165">
        <f>IF(AND(AD62="b",T14&lt;&gt;""),mlmx(Tech!AQ62,Tech!AN62)-mlmx(Tech!AF62,Tech!AC62),"")</f>
      </c>
      <c r="U200" s="165">
        <f>IF(AND(AD62="b",U14&lt;&gt;""),mlmx(Tech!AR62,Tech!AN62)-mlmx(Tech!AG62,Tech!AC62),"")</f>
      </c>
      <c r="V200" s="165">
        <f>IF(AND(AD62="b",V14&lt;&gt;""),mlmx(Tech!AS62,Tech!AN62)-mlmx(Tech!AH62,Tech!AC62),"")</f>
      </c>
      <c r="W200" s="165">
        <f>IF(AND(AD62="b",W14&lt;&gt;""),mlmx(Tech!AT62,Tech!AN62)-mlmx(Tech!AI62,Tech!AC62),"")</f>
      </c>
      <c r="X200" s="165">
        <f>IF(AND(AD62="b",X14&lt;&gt;""),mlmx(Tech!AU62,Tech!AN62)-mlmx(Tech!AJ62,Tech!AC62),"")</f>
      </c>
      <c r="Y200" s="165">
        <f>IF(AND(AD62="b",Y14&lt;&gt;""),mlmx(Tech!AV62,Tech!AN62)-mlmx(Tech!AK62,Tech!AC62),"")</f>
      </c>
      <c r="Z200" s="165">
        <f>IF(AND(AD62="b",Z14&lt;&gt;""),mlmx(Tech!AW62,Tech!AN62)-mlmx(Tech!AL62,Tech!AC62),"")</f>
      </c>
      <c r="AD200" s="22"/>
      <c r="AE200" s="57"/>
    </row>
    <row r="201" spans="14:31" ht="12.75">
      <c r="N201" s="166"/>
      <c r="O201" s="167" t="s">
        <v>103</v>
      </c>
      <c r="P201" s="165">
        <f>IF(AD62="c",mabs(Q201,R201,S201,T201,U201,V201,W201,X201,Y201,Z201)/COUNT(Q201:Z201),"")</f>
      </c>
      <c r="Q201" s="165">
        <f>IF(AD62="c",mlm1(Tech!BJ62)-mlm1(Tech!AY62),"")</f>
      </c>
      <c r="R201" s="165">
        <f>IF(AD62="c",mlmx(Tech!BK62,Tech!BJ62)-mlmx(Tech!AZ62,Tech!AY62),"")</f>
      </c>
      <c r="S201" s="165">
        <f>IF(AND(AD62="c",S14&lt;&gt;""),mlmx(Tech!BL62,Tech!BJ62)-mlmx(Tech!BA62,Tech!AY62),"")</f>
      </c>
      <c r="T201" s="165">
        <f>IF(AND(AD62="c",T14&lt;&gt;""),mlmx(Tech!BM62,Tech!BJ62)-mlmx(Tech!BB62,Tech!AY62),"")</f>
      </c>
      <c r="U201" s="165">
        <f>IF(AND(AD62="c",U14&lt;&gt;""),mlmx(Tech!BN62,Tech!BJ62)-mlmx(Tech!BC62,Tech!AY62),"")</f>
      </c>
      <c r="V201" s="165">
        <f>IF(AND(AD62="c",V14&lt;&gt;""),mlmx(Tech!BO62,Tech!BJ62)-mlmx(Tech!BD62,Tech!AY62),"")</f>
      </c>
      <c r="W201" s="165">
        <f>IF(AND(AD62="c",W14&lt;&gt;""),mlmx(Tech!BP62,Tech!BJ62)-mlmx(Tech!BE62,Tech!AY62),"")</f>
      </c>
      <c r="X201" s="165">
        <f>IF(AND(AD62="c",X14&lt;&gt;""),mlmx(Tech!BQ62,Tech!BJ62)-mlmx(Tech!BF62,Tech!AY62),"")</f>
      </c>
      <c r="Y201" s="165">
        <f>IF(AND(AD62="c",Y14&lt;&gt;""),mlmx(Tech!BR62,Tech!BJ62)-mlmx(Tech!BG62,Tech!AY62),"")</f>
      </c>
      <c r="Z201" s="165">
        <f>IF(AND(AD62="c",Z14&lt;&gt;""),mlmx(Tech!BS62,Tech!BJ62)-mlmx(Tech!BH62,Tech!AY62),"")</f>
      </c>
      <c r="AD201" s="22"/>
      <c r="AE201" s="57"/>
    </row>
    <row r="202" spans="14:31" ht="12.75">
      <c r="N202" s="166"/>
      <c r="O202" s="167" t="s">
        <v>104</v>
      </c>
      <c r="P202" s="165">
        <f>IF(AD62="c",mabs(Q202,R202,S202,T202,U202,V202,W202,X202,Y202,Z202)/COUNT(Q202:Z202),"")</f>
      </c>
      <c r="Q202" s="165">
        <f>IF(AD62="c",mlm1(Tech!CF62)-mlm1(Tech!BU62),"")</f>
      </c>
      <c r="R202" s="165">
        <f>IF(AD62="c",mlmx(Tech!CG62,Tech!CF62)-mlmx(Tech!BV62,Tech!BU62),"")</f>
      </c>
      <c r="S202" s="165">
        <f>IF(AND(AD62="c",S14&lt;&gt;""),mlmx(Tech!CH62,Tech!CF62)-mlmx(Tech!BW62,Tech!BU62),"")</f>
      </c>
      <c r="T202" s="165">
        <f>IF(AND(AD62="c",T14&lt;&gt;""),mlmx(Tech!CI62,Tech!CF62)-mlmx(Tech!BX62,Tech!BU62),"")</f>
      </c>
      <c r="U202" s="165">
        <f>IF(AND(AD62="c",U14&lt;&gt;""),mlmx(Tech!CJ62,Tech!CF62)-mlmx(Tech!BY62,Tech!BU62),"")</f>
      </c>
      <c r="V202" s="165">
        <f>IF(AND(AD62="c",V14&lt;&gt;""),mlmx(Tech!CK62,Tech!CF62)-mlmx(Tech!BZ62,Tech!BU62),"")</f>
      </c>
      <c r="W202" s="165">
        <f>IF(AND(AD62="c",W14&lt;&gt;""),mlmx(Tech!CL62,Tech!CF62)-mlmx(Tech!CA62,Tech!BU62),"")</f>
      </c>
      <c r="X202" s="165">
        <f>IF(AND(AD62="c",X14&lt;&gt;""),mlmx(Tech!CM62,Tech!CF62)-mlmx(Tech!CB62,Tech!BU62),"")</f>
      </c>
      <c r="Y202" s="165">
        <f>IF(AND(AD62="c",Y14&lt;&gt;""),mlmx(Tech!CN62,Tech!CF62)-mlmx(Tech!CC62,Tech!BU62),"")</f>
      </c>
      <c r="Z202" s="165">
        <f>IF(AND(AD62="c",Z14&lt;&gt;""),mlmx(Tech!CO62,Tech!CF62)-mlmx(Tech!CD62,Tech!BU62),"")</f>
      </c>
      <c r="AD202" s="22"/>
      <c r="AE202" s="57"/>
    </row>
    <row r="203" spans="14:31" ht="12.75">
      <c r="N203" s="166"/>
      <c r="O203" s="167" t="s">
        <v>32</v>
      </c>
      <c r="P203" s="165">
        <f>IF(AD62="c",mabs(Q203,R203,S203,T203,U203,V203,W203,X203,Y203,Z203)/COUNT(Q203:Z203),"")</f>
      </c>
      <c r="Q203" s="165">
        <f>IF(AD62="c",mlm1(Tech!DB62)-mlm1(Tech!CQ62),"")</f>
      </c>
      <c r="R203" s="165">
        <f>IF(AD62="c",mlmx(Tech!DC62,Tech!DB62)-mlmx(Tech!CR62,Tech!CQ62),"")</f>
      </c>
      <c r="S203" s="165">
        <f>IF(AND(AD62="c",S14&lt;&gt;""),mlmx(Tech!DD62,Tech!DB62)-mlmx(Tech!CS62,Tech!CQ62),"")</f>
      </c>
      <c r="T203" s="165">
        <f>IF(AND(AD62="c",T14&lt;&gt;""),mlmx(Tech!DE62,Tech!DB62)-mlmx(Tech!CT62,Tech!CQ62),"")</f>
      </c>
      <c r="U203" s="165">
        <f>IF(AND(AD62="c",U14&lt;&gt;""),mlmx(Tech!DF62,Tech!DB62)-mlmx(Tech!CU62,Tech!CQ62),"")</f>
      </c>
      <c r="V203" s="165">
        <f>IF(AND(AD62="c",V14&lt;&gt;""),mlmx(Tech!DG62,Tech!DB62)-mlmx(Tech!CV62,Tech!CQ62),"")</f>
      </c>
      <c r="W203" s="165">
        <f>IF(AND(AD62="c",W14&lt;&gt;""),mlmx(Tech!DH62,Tech!DB62)-mlmx(Tech!CW62,Tech!CQ62),"")</f>
      </c>
      <c r="X203" s="165">
        <f>IF(AND(AD62="c",X14&lt;&gt;""),mlmx(Tech!DI62,Tech!DB62)-mlmx(Tech!CX62,Tech!CQ62),"")</f>
      </c>
      <c r="Y203" s="165">
        <f>IF(AND(AD62="c",Y14&lt;&gt;""),mlmx(Tech!DJ62,Tech!DB62)-mlmx(Tech!CY62,Tech!CQ62),"")</f>
      </c>
      <c r="Z203" s="165">
        <f>IF(AND(AD62="c",Z14&lt;&gt;""),mlmx(Tech!DK62,Tech!DB62)-mlmx(Tech!CZ62,Tech!CQ62),"")</f>
      </c>
      <c r="AD203" s="22"/>
      <c r="AE203" s="57"/>
    </row>
    <row r="204" spans="14:31" ht="12.75">
      <c r="N204" s="166">
        <f>IF(AB63="","",AB63)</f>
      </c>
      <c r="O204" s="164" t="s">
        <v>31</v>
      </c>
      <c r="P204" s="165">
        <f>IF(AD63="b",mabs(Q204,R204,S204,T204,U204,V204,W204,X204,Y204,Z204)/COUNT(Q204:Z204),"")</f>
      </c>
      <c r="Q204" s="165">
        <f>IF(AD63="b",mlm1(Tech!AN63)-mlm1(Tech!AC63),"")</f>
      </c>
      <c r="R204" s="165">
        <f>IF(AD63="b",mlmx(Tech!AO63,Tech!AN63)-mlmx(Tech!AD63,Tech!AC63),"")</f>
      </c>
      <c r="S204" s="165">
        <f>IF(AND(AD63="b",S14&lt;&gt;""),mlmx(Tech!AP63,Tech!AN63)-mlmx(Tech!AE63,Tech!AC63),"")</f>
      </c>
      <c r="T204" s="165">
        <f>IF(AND(AD63="b",T14&lt;&gt;""),mlmx(Tech!AQ63,Tech!AN63)-mlmx(Tech!AF63,Tech!AC63),"")</f>
      </c>
      <c r="U204" s="165">
        <f>IF(AND(AD63="b",U14&lt;&gt;""),mlmx(Tech!AR63,Tech!AN63)-mlmx(Tech!AG63,Tech!AC63),"")</f>
      </c>
      <c r="V204" s="165">
        <f>IF(AND(AD63="b",V14&lt;&gt;""),mlmx(Tech!AS63,Tech!AN63)-mlmx(Tech!AH63,Tech!AC63),"")</f>
      </c>
      <c r="W204" s="165">
        <f>IF(AND(AD63="b",W14&lt;&gt;""),mlmx(Tech!AT63,Tech!AN63)-mlmx(Tech!AI63,Tech!AC63),"")</f>
      </c>
      <c r="X204" s="165">
        <f>IF(AND(AD63="b",X14&lt;&gt;""),mlmx(Tech!AU63,Tech!AN63)-mlmx(Tech!AJ63,Tech!AC63),"")</f>
      </c>
      <c r="Y204" s="165">
        <f>IF(AND(AD63="b",Y14&lt;&gt;""),mlmx(Tech!AV63,Tech!AN63)-mlmx(Tech!AK63,Tech!AC63),"")</f>
      </c>
      <c r="Z204" s="165">
        <f>IF(AND(AD63="b",Z14&lt;&gt;""),mlmx(Tech!AW63,Tech!AN63)-mlmx(Tech!AL63,Tech!AC63),"")</f>
      </c>
      <c r="AD204" s="22"/>
      <c r="AE204" s="57"/>
    </row>
    <row r="205" spans="14:31" ht="12.75">
      <c r="N205" s="166"/>
      <c r="O205" s="167" t="s">
        <v>103</v>
      </c>
      <c r="P205" s="165">
        <f>IF(AD63="c",mabs(Q205,R205,S205,T205,U205,V205,W205,X205,Y205,Z205)/COUNT(Q205:Z205),"")</f>
      </c>
      <c r="Q205" s="165">
        <f>IF(AD63="c",mlm1(Tech!BJ63)-mlm1(Tech!AY63),"")</f>
      </c>
      <c r="R205" s="165">
        <f>IF(AD63="c",mlmx(Tech!BK63,Tech!BJ63)-mlmx(Tech!AZ63,Tech!AY63),"")</f>
      </c>
      <c r="S205" s="165">
        <f>IF(AND(AD63="c",S14&lt;&gt;""),mlmx(Tech!BL63,Tech!BJ63)-mlmx(Tech!BA63,Tech!AY63),"")</f>
      </c>
      <c r="T205" s="165">
        <f>IF(AND(AD63="c",T14&lt;&gt;""),mlmx(Tech!BM63,Tech!BJ63)-mlmx(Tech!BB63,Tech!AY63),"")</f>
      </c>
      <c r="U205" s="165">
        <f>IF(AND(AD63="c",U14&lt;&gt;""),mlmx(Tech!BN63,Tech!BJ63)-mlmx(Tech!BC63,Tech!AY63),"")</f>
      </c>
      <c r="V205" s="165">
        <f>IF(AND(AD63="c",V14&lt;&gt;""),mlmx(Tech!BO63,Tech!BJ63)-mlmx(Tech!BD63,Tech!AY63),"")</f>
      </c>
      <c r="W205" s="165">
        <f>IF(AND(AD63="c",W14&lt;&gt;""),mlmx(Tech!BP63,Tech!BJ63)-mlmx(Tech!BE63,Tech!AY63),"")</f>
      </c>
      <c r="X205" s="165">
        <f>IF(AND(AD63="c",X14&lt;&gt;""),mlmx(Tech!BQ63,Tech!BJ63)-mlmx(Tech!BF63,Tech!AY63),"")</f>
      </c>
      <c r="Y205" s="165">
        <f>IF(AND(AD63="c",Y14&lt;&gt;""),mlmx(Tech!BR63,Tech!BJ63)-mlmx(Tech!BG63,Tech!AY63),"")</f>
      </c>
      <c r="Z205" s="165">
        <f>IF(AND(AD63="c",Z14&lt;&gt;""),mlmx(Tech!BS63,Tech!BJ63)-mlmx(Tech!BH63,Tech!AY63),"")</f>
      </c>
      <c r="AD205" s="22"/>
      <c r="AE205" s="57"/>
    </row>
    <row r="206" spans="14:31" ht="12.75">
      <c r="N206" s="166"/>
      <c r="O206" s="167" t="s">
        <v>104</v>
      </c>
      <c r="P206" s="165">
        <f>IF(AD63="c",mabs(Q206,R206,S206,T206,U206,V206,W206,X206,Y206,Z206)/COUNT(Q206:Z206),"")</f>
      </c>
      <c r="Q206" s="165">
        <f>IF(AD63="c",mlm1(Tech!CF63)-mlm1(Tech!BU63),"")</f>
      </c>
      <c r="R206" s="165">
        <f>IF(AD63="c",mlmx(Tech!CG63,Tech!CF63)-mlmx(Tech!BV63,Tech!BU63),"")</f>
      </c>
      <c r="S206" s="165">
        <f>IF(AND(AD63="c",S14&lt;&gt;""),mlmx(Tech!CH63,Tech!CF63)-mlmx(Tech!BW63,Tech!BU63),"")</f>
      </c>
      <c r="T206" s="165">
        <f>IF(AND(AD63="c",T14&lt;&gt;""),mlmx(Tech!CI63,Tech!CF63)-mlmx(Tech!BX63,Tech!BU63),"")</f>
      </c>
      <c r="U206" s="165">
        <f>IF(AND(AD63="c",U14&lt;&gt;""),mlmx(Tech!CJ63,Tech!CF63)-mlmx(Tech!BY63,Tech!BU63),"")</f>
      </c>
      <c r="V206" s="165">
        <f>IF(AND(AD63="c",V14&lt;&gt;""),mlmx(Tech!CK63,Tech!CF63)-mlmx(Tech!BZ63,Tech!BU63),"")</f>
      </c>
      <c r="W206" s="165">
        <f>IF(AND(AD63="c",W14&lt;&gt;""),mlmx(Tech!CL63,Tech!CF63)-mlmx(Tech!CA63,Tech!BU63),"")</f>
      </c>
      <c r="X206" s="165">
        <f>IF(AND(AD63="c",X14&lt;&gt;""),mlmx(Tech!CM63,Tech!CF63)-mlmx(Tech!CB63,Tech!BU63),"")</f>
      </c>
      <c r="Y206" s="165">
        <f>IF(AND(AD63="c",Y14&lt;&gt;""),mlmx(Tech!CN63,Tech!CF63)-mlmx(Tech!CC63,Tech!BU63),"")</f>
      </c>
      <c r="Z206" s="165">
        <f>IF(AND(AD63="c",Z14&lt;&gt;""),mlmx(Tech!CO63,Tech!CF63)-mlmx(Tech!CD63,Tech!BU63),"")</f>
      </c>
      <c r="AD206" s="22"/>
      <c r="AE206" s="57"/>
    </row>
    <row r="207" spans="14:31" ht="12.75">
      <c r="N207" s="166"/>
      <c r="O207" s="167" t="s">
        <v>32</v>
      </c>
      <c r="P207" s="165">
        <f>IF(AD63="c",mabs(Q207,R207,S207,T207,U207,V207,W207,X207,Y207,Z207)/COUNT(Q207:Z207),"")</f>
      </c>
      <c r="Q207" s="165">
        <f>IF(AD63="c",mlm1(Tech!DB63)-mlm1(Tech!CQ63),"")</f>
      </c>
      <c r="R207" s="165">
        <f>IF(AD63="c",mlmx(Tech!DC63,Tech!DB63)-mlmx(Tech!CR63,Tech!CQ63),"")</f>
      </c>
      <c r="S207" s="165">
        <f>IF(AND(AD63="c",S14&lt;&gt;""),mlmx(Tech!DD63,Tech!DB63)-mlmx(Tech!CS63,Tech!CQ63),"")</f>
      </c>
      <c r="T207" s="165">
        <f>IF(AND(AD63="c",T14&lt;&gt;""),mlmx(Tech!DE63,Tech!DB63)-mlmx(Tech!CT63,Tech!CQ63),"")</f>
      </c>
      <c r="U207" s="165">
        <f>IF(AND(AD63="c",U14&lt;&gt;""),mlmx(Tech!DF63,Tech!DB63)-mlmx(Tech!CU63,Tech!CQ63),"")</f>
      </c>
      <c r="V207" s="165">
        <f>IF(AND(AD63="c",V14&lt;&gt;""),mlmx(Tech!DG63,Tech!DB63)-mlmx(Tech!CV63,Tech!CQ63),"")</f>
      </c>
      <c r="W207" s="165">
        <f>IF(AND(AD63="c",W14&lt;&gt;""),mlmx(Tech!DH63,Tech!DB63)-mlmx(Tech!CW63,Tech!CQ63),"")</f>
      </c>
      <c r="X207" s="165">
        <f>IF(AND(AD63="c",X14&lt;&gt;""),mlmx(Tech!DI63,Tech!DB63)-mlmx(Tech!CX63,Tech!CQ63),"")</f>
      </c>
      <c r="Y207" s="165">
        <f>IF(AND(AD63="c",Y14&lt;&gt;""),mlmx(Tech!DJ63,Tech!DB63)-mlmx(Tech!CY63,Tech!CQ63),"")</f>
      </c>
      <c r="Z207" s="165">
        <f>IF(AND(AD63="c",Z14&lt;&gt;""),mlmx(Tech!DK63,Tech!DB63)-mlmx(Tech!CZ63,Tech!CQ63),"")</f>
      </c>
      <c r="AD207" s="22"/>
      <c r="AE207" s="57"/>
    </row>
    <row r="208" spans="14:31" ht="12.75">
      <c r="N208" s="166">
        <f>IF(AB64="","",AB64)</f>
      </c>
      <c r="O208" s="164" t="s">
        <v>31</v>
      </c>
      <c r="P208" s="165">
        <f>IF(AD64="b",mabs(Q208,R208,S208,T208,U208,V208,W208,X208,Y208,Z208)/COUNT(Q208:Z208),"")</f>
      </c>
      <c r="Q208" s="165">
        <f>IF(AD64="b",mlm1(Tech!AN64)-mlm1(Tech!AC64),"")</f>
      </c>
      <c r="R208" s="165">
        <f>IF(AD64="b",mlmx(Tech!AO64,Tech!AN64)-mlmx(Tech!AD64,Tech!AC64),"")</f>
      </c>
      <c r="S208" s="165">
        <f>IF(AND(AD64="b",S14&lt;&gt;""),mlmx(Tech!AP64,Tech!AN64)-mlmx(Tech!AE64,Tech!AC64),"")</f>
      </c>
      <c r="T208" s="165">
        <f>IF(AND(AD64="b",T14&lt;&gt;""),mlmx(Tech!AQ64,Tech!AN64)-mlmx(Tech!AF64,Tech!AC64),"")</f>
      </c>
      <c r="U208" s="165">
        <f>IF(AND(AD64="b",U14&lt;&gt;""),mlmx(Tech!AR64,Tech!AN64)-mlmx(Tech!AG64,Tech!AC64),"")</f>
      </c>
      <c r="V208" s="165">
        <f>IF(AND(AD64="b",V14&lt;&gt;""),mlmx(Tech!AS64,Tech!AN64)-mlmx(Tech!AH64,Tech!AC64),"")</f>
      </c>
      <c r="W208" s="165">
        <f>IF(AND(AD64="b",W14&lt;&gt;""),mlmx(Tech!AT64,Tech!AN64)-mlmx(Tech!AI64,Tech!AC64),"")</f>
      </c>
      <c r="X208" s="165">
        <f>IF(AND(AD64="b",X14&lt;&gt;""),mlmx(Tech!AU64,Tech!AN64)-mlmx(Tech!AJ64,Tech!AC64),"")</f>
      </c>
      <c r="Y208" s="165">
        <f>IF(AND(AD64="b",Y14&lt;&gt;""),mlmx(Tech!AV64,Tech!AN64)-mlmx(Tech!AK64,Tech!AC64),"")</f>
      </c>
      <c r="Z208" s="165">
        <f>IF(AND(AD64="b",Z14&lt;&gt;""),mlmx(Tech!AW64,Tech!AN64)-mlmx(Tech!AL64,Tech!AC64),"")</f>
      </c>
      <c r="AD208" s="22"/>
      <c r="AE208" s="57"/>
    </row>
    <row r="209" spans="14:31" ht="12.75">
      <c r="N209" s="166"/>
      <c r="O209" s="167" t="s">
        <v>103</v>
      </c>
      <c r="P209" s="165">
        <f>IF(AD64="c",mabs(Q209,R209,S209,T209,U209,V209,W209,X209,Y209,Z209)/COUNT(Q209:Z209),"")</f>
      </c>
      <c r="Q209" s="165">
        <f>IF(AD64="c",mlm1(Tech!BJ64)-mlm1(Tech!AY64),"")</f>
      </c>
      <c r="R209" s="165">
        <f>IF(AD64="c",mlmx(Tech!BK64,Tech!BJ64)-mlmx(Tech!AZ64,Tech!AY64),"")</f>
      </c>
      <c r="S209" s="165">
        <f>IF(AND(AD64="c",S14&lt;&gt;""),mlmx(Tech!BL64,Tech!BJ64)-mlmx(Tech!BA64,Tech!AY64),"")</f>
      </c>
      <c r="T209" s="165">
        <f>IF(AND(AD64="c",T14&lt;&gt;""),mlmx(Tech!BM64,Tech!BJ64)-mlmx(Tech!BB64,Tech!AY64),"")</f>
      </c>
      <c r="U209" s="165">
        <f>IF(AND(AD64="c",U14&lt;&gt;""),mlmx(Tech!BN64,Tech!BJ64)-mlmx(Tech!BC64,Tech!AY64),"")</f>
      </c>
      <c r="V209" s="165">
        <f>IF(AND(AD64="c",V14&lt;&gt;""),mlmx(Tech!BO64,Tech!BJ64)-mlmx(Tech!BD64,Tech!AY64),"")</f>
      </c>
      <c r="W209" s="165">
        <f>IF(AND(AD64="c",W14&lt;&gt;""),mlmx(Tech!BP64,Tech!BJ64)-mlmx(Tech!BE64,Tech!AY64),"")</f>
      </c>
      <c r="X209" s="165">
        <f>IF(AND(AD64="c",X14&lt;&gt;""),mlmx(Tech!BQ64,Tech!BJ64)-mlmx(Tech!BF64,Tech!AY64),"")</f>
      </c>
      <c r="Y209" s="165">
        <f>IF(AND(AD64="c",Y14&lt;&gt;""),mlmx(Tech!BR64,Tech!BJ64)-mlmx(Tech!BG64,Tech!AY64),"")</f>
      </c>
      <c r="Z209" s="165">
        <f>IF(AND(AD64="c",Z14&lt;&gt;""),mlmx(Tech!BS64,Tech!BJ64)-mlmx(Tech!BH64,Tech!AY64),"")</f>
      </c>
      <c r="AD209" s="22"/>
      <c r="AE209" s="57"/>
    </row>
    <row r="210" spans="14:31" ht="12.75">
      <c r="N210" s="166"/>
      <c r="O210" s="167" t="s">
        <v>104</v>
      </c>
      <c r="P210" s="165">
        <f>IF(AD64="c",mabs(Q210,R210,S210,T210,U210,V210,W210,X210,Y210,Z210)/COUNT(Q210:Z210),"")</f>
      </c>
      <c r="Q210" s="165">
        <f>IF(AD64="c",mlm1(Tech!CF64)-mlm1(Tech!BU64),"")</f>
      </c>
      <c r="R210" s="165">
        <f>IF(AD64="c",mlmx(Tech!CG64,Tech!CF64)-mlmx(Tech!BV64,Tech!BU64),"")</f>
      </c>
      <c r="S210" s="165">
        <f>IF(AND(AD64="c",S14&lt;&gt;""),mlmx(Tech!CH64,Tech!CF64)-mlmx(Tech!BW64,Tech!BU64),"")</f>
      </c>
      <c r="T210" s="165">
        <f>IF(AND(AD64="c",T14&lt;&gt;""),mlmx(Tech!CI64,Tech!CF64)-mlmx(Tech!BX64,Tech!BU64),"")</f>
      </c>
      <c r="U210" s="165">
        <f>IF(AND(AD64="c",U14&lt;&gt;""),mlmx(Tech!CJ64,Tech!CF64)-mlmx(Tech!BY64,Tech!BU64),"")</f>
      </c>
      <c r="V210" s="165">
        <f>IF(AND(AD64="c",V14&lt;&gt;""),mlmx(Tech!CK64,Tech!CF64)-mlmx(Tech!BZ64,Tech!BU64),"")</f>
      </c>
      <c r="W210" s="165">
        <f>IF(AND(AD64="c",W14&lt;&gt;""),mlmx(Tech!CL64,Tech!CF64)-mlmx(Tech!CA64,Tech!BU64),"")</f>
      </c>
      <c r="X210" s="165">
        <f>IF(AND(AD64="c",X14&lt;&gt;""),mlmx(Tech!CM64,Tech!CF64)-mlmx(Tech!CB64,Tech!BU64),"")</f>
      </c>
      <c r="Y210" s="165">
        <f>IF(AND(AD64="c",Y14&lt;&gt;""),mlmx(Tech!CN64,Tech!CF64)-mlmx(Tech!CC64,Tech!BU64),"")</f>
      </c>
      <c r="Z210" s="165">
        <f>IF(AND(AD64="c",Z14&lt;&gt;""),mlmx(Tech!CO64,Tech!CF64)-mlmx(Tech!CD64,Tech!BU64),"")</f>
      </c>
      <c r="AD210" s="22"/>
      <c r="AE210" s="57"/>
    </row>
    <row r="211" spans="14:31" ht="12.75">
      <c r="N211" s="166"/>
      <c r="O211" s="167" t="s">
        <v>32</v>
      </c>
      <c r="P211" s="165">
        <f>IF(AD64="c",mabs(Q211,R211,S211,T211,U211,V211,W211,X211,Y211,Z211)/COUNT(Q211:Z211),"")</f>
      </c>
      <c r="Q211" s="165">
        <f>IF(AD64="c",mlm1(Tech!DB64)-mlm1(Tech!CQ64),"")</f>
      </c>
      <c r="R211" s="165">
        <f>IF(AD64="c",mlmx(Tech!DC64,Tech!DB64)-mlmx(Tech!CR64,Tech!CQ64),"")</f>
      </c>
      <c r="S211" s="165">
        <f>IF(AND(AD64="c",S14&lt;&gt;""),mlmx(Tech!DD64,Tech!DB64)-mlmx(Tech!CS64,Tech!CQ64),"")</f>
      </c>
      <c r="T211" s="165">
        <f>IF(AND(AD64="c",T14&lt;&gt;""),mlmx(Tech!DE64,Tech!DB64)-mlmx(Tech!CT64,Tech!CQ64),"")</f>
      </c>
      <c r="U211" s="165">
        <f>IF(AND(AD64="c",U14&lt;&gt;""),mlmx(Tech!DF64,Tech!DB64)-mlmx(Tech!CU64,Tech!CQ64),"")</f>
      </c>
      <c r="V211" s="165">
        <f>IF(AND(AD64="c",V14&lt;&gt;""),mlmx(Tech!DG64,Tech!DB64)-mlmx(Tech!CV64,Tech!CQ64),"")</f>
      </c>
      <c r="W211" s="165">
        <f>IF(AND(AD64="c",W14&lt;&gt;""),mlmx(Tech!DH64,Tech!DB64)-mlmx(Tech!CW64,Tech!CQ64),"")</f>
      </c>
      <c r="X211" s="165">
        <f>IF(AND(AD64="c",X14&lt;&gt;""),mlmx(Tech!DI64,Tech!DB64)-mlmx(Tech!CX64,Tech!CQ64),"")</f>
      </c>
      <c r="Y211" s="165">
        <f>IF(AND(AD64="c",Y14&lt;&gt;""),mlmx(Tech!DJ64,Tech!DB64)-mlmx(Tech!CY64,Tech!CQ64),"")</f>
      </c>
      <c r="Z211" s="165">
        <f>IF(AND(AD64="c",Z14&lt;&gt;""),mlmx(Tech!DK64,Tech!DB64)-mlmx(Tech!CZ64,Tech!CQ64),"")</f>
      </c>
      <c r="AD211" s="22"/>
      <c r="AE211" s="57"/>
    </row>
    <row r="212" spans="14:31" ht="12.75">
      <c r="N212" s="166">
        <f>IF(AB65="","",AB65)</f>
      </c>
      <c r="O212" s="164" t="s">
        <v>31</v>
      </c>
      <c r="P212" s="168">
        <f>IF(AD65="b",mabs(Q212,R212,S212,T212,U212,V212,W212,X212,Y212,Z212)/COUNT(Q212:Z212),"")</f>
      </c>
      <c r="Q212" s="165">
        <f>IF(AD65="b",mlm1(Tech!AN65)-mlm1(Tech!AC65),"")</f>
      </c>
      <c r="R212" s="165">
        <f>IF(AD65="b",mlmx(Tech!AO65,Tech!AN65)-mlmx(Tech!AD65,Tech!AC65),"")</f>
      </c>
      <c r="S212" s="168">
        <f>IF(AND(AD65="b",S14&lt;&gt;""),mlmx(Tech!AP65,Tech!AN65)-mlmx(Tech!AE65,Tech!AC65),"")</f>
      </c>
      <c r="T212" s="168">
        <f>IF(AND(AD65="b",T14&lt;&gt;""),mlmx(Tech!AQ65,Tech!AN65)-mlmx(Tech!AF65,Tech!AC65),"")</f>
      </c>
      <c r="U212" s="168">
        <f>IF(AND(AD65="b",U14&lt;&gt;""),mlmx(Tech!AR65,Tech!AN65)-mlmx(Tech!AG65,Tech!AC65),"")</f>
      </c>
      <c r="V212" s="168">
        <f>IF(AND(AD65="b",V14&lt;&gt;""),mlmx(Tech!AS65,Tech!AN65)-mlmx(Tech!AH65,Tech!AC65),"")</f>
      </c>
      <c r="W212" s="168">
        <f>IF(AND(AD65="b",W14&lt;&gt;""),mlmx(Tech!AT65,Tech!AN65)-mlmx(Tech!AI65,Tech!AC65),"")</f>
      </c>
      <c r="X212" s="168">
        <f>IF(AND(AD65="b",X14&lt;&gt;""),mlmx(Tech!AU65,Tech!AN65)-mlmx(Tech!AJ65,Tech!AC65),"")</f>
      </c>
      <c r="Y212" s="168">
        <f>IF(AND(AD65="b",Y14&lt;&gt;""),mlmx(Tech!AV65,Tech!AN65)-mlmx(Tech!AK65,Tech!AC65),"")</f>
      </c>
      <c r="Z212" s="168">
        <f>IF(AND(AD65="b",Z14&lt;&gt;""),mlmx(Tech!AW65,Tech!AN65)-mlmx(Tech!AL65,Tech!AC65),"")</f>
      </c>
      <c r="AD212" s="22"/>
      <c r="AE212" s="57"/>
    </row>
    <row r="213" spans="14:31" ht="12.75">
      <c r="N213" s="166"/>
      <c r="O213" s="167" t="s">
        <v>103</v>
      </c>
      <c r="P213" s="168">
        <f>IF(AD65="c",mabs(Q213,R213,S213,T213,U213,V213,W213,X213,Y213,Z213)/COUNT(Q213:Z213),"")</f>
      </c>
      <c r="Q213" s="165">
        <f>IF(AD65="c",mlm1(Tech!BJ65)-mlm1(Tech!AY65),"")</f>
      </c>
      <c r="R213" s="165">
        <f>IF(AD65="c",mlmx(Tech!BK65,Tech!BJ65)-mlmx(Tech!AZ65,Tech!AY65),"")</f>
      </c>
      <c r="S213" s="168">
        <f>IF(AND(AD65="c",S14&lt;&gt;""),mlmx(Tech!BL65,Tech!BJ65)-mlmx(Tech!BA65,Tech!AY65),"")</f>
      </c>
      <c r="T213" s="168">
        <f>IF(AND(AD65="c",T14&lt;&gt;""),mlmx(Tech!BM65,Tech!BJ65)-mlmx(Tech!BB65,Tech!AY65),"")</f>
      </c>
      <c r="U213" s="168">
        <f>IF(AND(AD65="c",U14&lt;&gt;""),mlmx(Tech!BN65,Tech!BJ65)-mlmx(Tech!BC65,Tech!AY65),"")</f>
      </c>
      <c r="V213" s="168">
        <f>IF(AND(AD65="c",V14&lt;&gt;""),mlmx(Tech!BO65,Tech!BJ65)-mlmx(Tech!BD65,Tech!AY65),"")</f>
      </c>
      <c r="W213" s="168">
        <f>IF(AND(AD65="c",W14&lt;&gt;""),mlmx(Tech!BP65,Tech!BJ65)-mlmx(Tech!BE65,Tech!AY65),"")</f>
      </c>
      <c r="X213" s="168">
        <f>IF(AND(AD65="c",X14&lt;&gt;""),mlmx(Tech!BQ65,Tech!BJ65)-mlmx(Tech!BF65,Tech!AY65),"")</f>
      </c>
      <c r="Y213" s="168">
        <f>IF(AND(AD65="c",Y14&lt;&gt;""),mlmx(Tech!BR65,Tech!BJ65)-mlmx(Tech!BG65,Tech!AY65),"")</f>
      </c>
      <c r="Z213" s="168">
        <f>IF(AND(AD65="c",Z14&lt;&gt;""),mlmx(Tech!BS65,Tech!BJ65)-mlmx(Tech!BH65,Tech!AY65),"")</f>
      </c>
      <c r="AD213" s="22"/>
      <c r="AE213" s="57"/>
    </row>
    <row r="214" spans="15:31" ht="12.75">
      <c r="O214" s="167" t="s">
        <v>104</v>
      </c>
      <c r="P214" s="168">
        <f>IF(AD65="c",mabs(Q214,R214,S214,T214,U214,V214,W214,X214,Y214,Z214)/COUNT(Q214:Z214),"")</f>
      </c>
      <c r="Q214" s="165">
        <f>IF(AD65="c",mlm1(Tech!CF65)-mlm1(Tech!BU65),"")</f>
      </c>
      <c r="R214" s="165">
        <f>IF(AD65="c",mlmx(Tech!CG65,Tech!CF65)-mlmx(Tech!BV65,Tech!BU65),"")</f>
      </c>
      <c r="S214" s="168">
        <f>IF(AND(AD65="c",S14&lt;&gt;""),mlmx(Tech!CH65,Tech!CF65)-mlmx(Tech!BW65,Tech!BU65),"")</f>
      </c>
      <c r="T214" s="168">
        <f>IF(AND(AD65="c",T14&lt;&gt;""),mlmx(Tech!CI65,Tech!CF65)-mlmx(Tech!BX65,Tech!BU65),"")</f>
      </c>
      <c r="U214" s="168">
        <f>IF(AND(AD65="c",U14&lt;&gt;""),mlmx(Tech!CJ65,Tech!CF65)-mlmx(Tech!BY65,Tech!BU65),"")</f>
      </c>
      <c r="V214" s="168">
        <f>IF(AND(AD65="c",V14&lt;&gt;""),mlmx(Tech!CK65,Tech!CF65)-mlmx(Tech!BZ65,Tech!BU65),"")</f>
      </c>
      <c r="W214" s="168">
        <f>IF(AND(AD65="c",W14&lt;&gt;""),mlmx(Tech!CL65,Tech!CF65)-mlmx(Tech!CA65,Tech!BU65),"")</f>
      </c>
      <c r="X214" s="168">
        <f>IF(AND(AD65="c",X14&lt;&gt;""),mlmx(Tech!CM65,Tech!CF65)-mlmx(Tech!CB65,Tech!BU65),"")</f>
      </c>
      <c r="Y214" s="168">
        <f>IF(AND(AD65="c",Y14&lt;&gt;""),mlmx(Tech!CN65,Tech!CF65)-mlmx(Tech!CC65,Tech!BU65),"")</f>
      </c>
      <c r="Z214" s="168">
        <f>IF(AND(AD65="c",Z14&lt;&gt;""),mlmx(Tech!CO65,Tech!CF65)-mlmx(Tech!CD65,Tech!BU65),"")</f>
      </c>
      <c r="AD214" s="22"/>
      <c r="AE214" s="57"/>
    </row>
    <row r="215" spans="14:31" ht="12.75">
      <c r="N215" s="59"/>
      <c r="O215" s="169" t="s">
        <v>32</v>
      </c>
      <c r="P215" s="170">
        <f>IF(AD65="c",mabs(Q215,R215,S215,T215,U215,V215,W215,X215,Y215,Z215)/COUNT(Q215:Z215),"")</f>
      </c>
      <c r="Q215" s="170">
        <f>IF(AD65="c",mlm1(Tech!DB65)-mlm1(Tech!CQ65),"")</f>
      </c>
      <c r="R215" s="170">
        <f>IF(AD65="c",mlmx(Tech!DC65,Tech!DB65)-mlmx(Tech!CR65,Tech!CQ65),"")</f>
      </c>
      <c r="S215" s="170">
        <f>IF(AND(AD65="c",S14&lt;&gt;""),mlmx(Tech!DD65,Tech!DB65)-mlmx(Tech!CS65,Tech!CQ65),"")</f>
      </c>
      <c r="T215" s="170">
        <f>IF(AND(AD65="c",T14&lt;&gt;""),mlmx(Tech!DE65,Tech!DB65)-mlmx(Tech!CT65,Tech!CQ65),"")</f>
      </c>
      <c r="U215" s="170">
        <f>IF(AND(AD65="c",U14&lt;&gt;""),mlmx(Tech!DF65,Tech!DB65)-mlmx(Tech!CU65,Tech!CQ65),"")</f>
      </c>
      <c r="V215" s="170">
        <f>IF(AND(AD65="c",V14&lt;&gt;""),mlmx(Tech!DG65,Tech!DB65)-mlmx(Tech!CV65,Tech!CQ65),"")</f>
      </c>
      <c r="W215" s="170">
        <f>IF(AND(AD65="c",W14&lt;&gt;""),mlmx(Tech!DH65,Tech!DB65)-mlmx(Tech!CW65,Tech!CQ65),"")</f>
      </c>
      <c r="X215" s="170">
        <f>IF(AND(AD65="c",X14&lt;&gt;""),mlmx(Tech!DI65,Tech!DB65)-mlmx(Tech!CX65,Tech!CQ65),"")</f>
      </c>
      <c r="Y215" s="170">
        <f>IF(AND(AD65="c",Y14&lt;&gt;""),mlmx(Tech!DJ65,Tech!DB65)-mlmx(Tech!CY65,Tech!CQ65),"")</f>
      </c>
      <c r="Z215" s="170">
        <f>IF(AND(AD65="c",Z14&lt;&gt;""),mlmx(Tech!DK65,Tech!DB65)-mlmx(Tech!CZ65,Tech!CQ65),"")</f>
      </c>
      <c r="AD215" s="22"/>
      <c r="AE215" s="57"/>
    </row>
    <row r="216" spans="30:31" ht="12.75">
      <c r="AD216" s="5"/>
      <c r="AE216" s="57"/>
    </row>
    <row r="217" spans="30:31" ht="12.75">
      <c r="AD217" s="5"/>
      <c r="AE217" s="57"/>
    </row>
    <row r="218" spans="14:31" ht="12.75">
      <c r="N218" s="22"/>
      <c r="O218" s="22"/>
      <c r="P218" s="57"/>
      <c r="AD218" s="5"/>
      <c r="AE218" s="57"/>
    </row>
    <row r="219" spans="14:31" ht="12.75">
      <c r="N219" s="22"/>
      <c r="O219" s="22"/>
      <c r="P219" s="57"/>
      <c r="AD219" s="5"/>
      <c r="AE219" s="57"/>
    </row>
    <row r="220" spans="14:31" ht="12.75">
      <c r="N220" s="22"/>
      <c r="O220" s="22"/>
      <c r="P220" s="57"/>
      <c r="AD220" s="5"/>
      <c r="AE220" s="57"/>
    </row>
    <row r="221" spans="14:31" ht="12.75">
      <c r="N221" s="22"/>
      <c r="O221" s="22"/>
      <c r="P221" s="57"/>
      <c r="AD221" s="5"/>
      <c r="AE221" s="57"/>
    </row>
    <row r="222" spans="14:31" ht="12.75">
      <c r="N222" s="22"/>
      <c r="O222" s="22"/>
      <c r="P222" s="57"/>
      <c r="AD222" s="5"/>
      <c r="AE222" s="57"/>
    </row>
    <row r="223" spans="14:31" ht="12.75">
      <c r="N223" s="22"/>
      <c r="O223" s="22"/>
      <c r="P223" s="57"/>
      <c r="AD223" s="5"/>
      <c r="AE223" s="57"/>
    </row>
    <row r="224" spans="14:31" ht="12.75">
      <c r="N224" s="22"/>
      <c r="O224" s="22"/>
      <c r="P224" s="57"/>
      <c r="AD224" s="5"/>
      <c r="AE224" s="57"/>
    </row>
    <row r="225" spans="14:31" ht="12.75">
      <c r="N225" s="22"/>
      <c r="O225" s="22"/>
      <c r="P225" s="57"/>
      <c r="AD225" s="5"/>
      <c r="AE225" s="57"/>
    </row>
    <row r="226" spans="14:31" ht="12.75">
      <c r="N226" s="22"/>
      <c r="O226" s="22"/>
      <c r="P226" s="57"/>
      <c r="AD226" s="5"/>
      <c r="AE226" s="57"/>
    </row>
    <row r="227" spans="14:31" ht="12.75">
      <c r="N227" s="22"/>
      <c r="O227" s="22"/>
      <c r="P227" s="57"/>
      <c r="AD227" s="5"/>
      <c r="AE227" s="57"/>
    </row>
    <row r="228" spans="14:30" ht="12.75">
      <c r="N228" s="22"/>
      <c r="O228" s="22"/>
      <c r="P228" s="57"/>
      <c r="AD228" s="5"/>
    </row>
    <row r="229" spans="14:30" ht="12.75">
      <c r="N229" s="22"/>
      <c r="O229" s="22"/>
      <c r="P229" s="57"/>
      <c r="AD229" s="5"/>
    </row>
    <row r="230" spans="14:30" ht="12.75">
      <c r="N230" s="22"/>
      <c r="O230" s="22"/>
      <c r="P230" s="57"/>
      <c r="AD230" s="5"/>
    </row>
    <row r="231" spans="14:30" ht="12.75">
      <c r="N231" s="22"/>
      <c r="O231" s="22"/>
      <c r="P231" s="57"/>
      <c r="AD231" s="5"/>
    </row>
    <row r="232" spans="14:30" ht="12.75">
      <c r="N232" s="22"/>
      <c r="O232" s="22"/>
      <c r="P232" s="57"/>
      <c r="AD232" s="5"/>
    </row>
    <row r="233" spans="14:30" ht="12.75">
      <c r="N233" s="22"/>
      <c r="O233" s="22"/>
      <c r="P233" s="57"/>
      <c r="AD233" s="5"/>
    </row>
    <row r="234" spans="14:30" ht="12.75">
      <c r="N234" s="22"/>
      <c r="O234" s="22"/>
      <c r="P234" s="57"/>
      <c r="AD234" s="5"/>
    </row>
    <row r="235" spans="14:30" ht="12.75">
      <c r="N235" s="22"/>
      <c r="O235" s="22"/>
      <c r="P235" s="57"/>
      <c r="AD235" s="5"/>
    </row>
    <row r="236" spans="14:30" ht="12.75">
      <c r="N236" s="22"/>
      <c r="O236" s="22"/>
      <c r="P236" s="57"/>
      <c r="AD236" s="5"/>
    </row>
    <row r="237" spans="14:30" ht="12.75">
      <c r="N237" s="22"/>
      <c r="O237" s="22"/>
      <c r="P237" s="57"/>
      <c r="AD237" s="5"/>
    </row>
    <row r="238" spans="14:30" ht="12.75">
      <c r="N238" s="22"/>
      <c r="O238" s="22"/>
      <c r="P238" s="57"/>
      <c r="AD238" s="5"/>
    </row>
    <row r="239" spans="14:30" ht="12.75">
      <c r="N239" s="22"/>
      <c r="O239" s="22"/>
      <c r="P239" s="57"/>
      <c r="AD239" s="5"/>
    </row>
    <row r="240" spans="14:30" ht="12.75">
      <c r="N240" s="22"/>
      <c r="O240" s="22"/>
      <c r="P240" s="57"/>
      <c r="AD240" s="5"/>
    </row>
    <row r="241" spans="14:30" ht="12.75">
      <c r="N241" s="22"/>
      <c r="O241" s="22"/>
      <c r="P241" s="57"/>
      <c r="AD241" s="5"/>
    </row>
    <row r="242" spans="14:30" ht="12.75">
      <c r="N242" s="22"/>
      <c r="O242" s="22"/>
      <c r="P242" s="57"/>
      <c r="AD242" s="5"/>
    </row>
    <row r="243" spans="14:30" ht="12.75">
      <c r="N243" s="22"/>
      <c r="O243" s="22"/>
      <c r="P243" s="57"/>
      <c r="AD243" s="5"/>
    </row>
    <row r="244" spans="14:30" ht="12.75">
      <c r="N244" s="22"/>
      <c r="O244" s="22"/>
      <c r="P244" s="57"/>
      <c r="AD244" s="5"/>
    </row>
    <row r="245" spans="14:16" ht="12.75">
      <c r="N245" s="22"/>
      <c r="O245" s="22"/>
      <c r="P245" s="57"/>
    </row>
    <row r="246" spans="14:16" ht="12.75">
      <c r="N246" s="22"/>
      <c r="O246" s="22"/>
      <c r="P246" s="57"/>
    </row>
    <row r="247" spans="14:16" ht="12.75">
      <c r="N247" s="22"/>
      <c r="O247" s="22"/>
      <c r="P247" s="57"/>
    </row>
    <row r="248" spans="14:16" ht="12.75">
      <c r="N248" s="22"/>
      <c r="O248" s="22"/>
      <c r="P248" s="57"/>
    </row>
    <row r="249" spans="14:16" ht="12.75">
      <c r="N249" s="22"/>
      <c r="O249" s="22"/>
      <c r="P249" s="57"/>
    </row>
    <row r="250" spans="14:16" ht="12.75">
      <c r="N250" s="22"/>
      <c r="O250" s="22"/>
      <c r="P250" s="57"/>
    </row>
    <row r="251" spans="14:16" ht="12.75">
      <c r="N251" s="22"/>
      <c r="O251" s="22"/>
      <c r="P251" s="57"/>
    </row>
    <row r="252" spans="14:16" ht="12.75">
      <c r="N252" s="22"/>
      <c r="O252" s="22"/>
      <c r="P252" s="57"/>
    </row>
    <row r="253" spans="14:16" ht="12.75">
      <c r="N253" s="22"/>
      <c r="O253" s="22"/>
      <c r="P253" s="57"/>
    </row>
    <row r="254" spans="14:16" ht="12.75">
      <c r="N254" s="22"/>
      <c r="O254" s="22"/>
      <c r="P254" s="57"/>
    </row>
    <row r="255" spans="14:16" ht="12.75">
      <c r="N255" s="22"/>
      <c r="O255" s="22"/>
      <c r="P255" s="57"/>
    </row>
    <row r="256" spans="14:16" ht="12.75">
      <c r="N256" s="22"/>
      <c r="O256" s="22"/>
      <c r="P256" s="57"/>
    </row>
    <row r="257" spans="14:16" ht="12.75">
      <c r="N257" s="22"/>
      <c r="O257" s="22"/>
      <c r="P257" s="57"/>
    </row>
    <row r="258" spans="14:16" ht="12.75">
      <c r="N258" s="22"/>
      <c r="O258" s="22"/>
      <c r="P258" s="57"/>
    </row>
    <row r="259" spans="14:16" ht="12.75">
      <c r="N259" s="22"/>
      <c r="O259" s="22"/>
      <c r="P259" s="57"/>
    </row>
    <row r="260" spans="14:16" ht="12.75">
      <c r="N260" s="22"/>
      <c r="O260" s="22"/>
      <c r="P260" s="57"/>
    </row>
    <row r="261" spans="14:16" ht="12.75">
      <c r="N261" s="22"/>
      <c r="O261" s="22"/>
      <c r="P261" s="57"/>
    </row>
    <row r="262" spans="14:16" ht="12.75">
      <c r="N262" s="22"/>
      <c r="O262" s="22"/>
      <c r="P262" s="57"/>
    </row>
    <row r="263" spans="14:16" ht="12.75">
      <c r="N263" s="22"/>
      <c r="O263" s="22"/>
      <c r="P263" s="57"/>
    </row>
    <row r="264" spans="14:16" ht="12.75">
      <c r="N264" s="22"/>
      <c r="O264" s="22"/>
      <c r="P264" s="57"/>
    </row>
    <row r="265" spans="14:16" ht="12.75">
      <c r="N265" s="22"/>
      <c r="O265" s="22"/>
      <c r="P265" s="57"/>
    </row>
    <row r="266" spans="14:16" ht="12.75">
      <c r="N266" s="22"/>
      <c r="O266" s="22"/>
      <c r="P266" s="57"/>
    </row>
    <row r="267" spans="14:16" ht="12.75">
      <c r="N267" s="22"/>
      <c r="O267" s="22"/>
      <c r="P267" s="57"/>
    </row>
    <row r="268" spans="14:16" ht="12.75">
      <c r="N268" s="22"/>
      <c r="O268" s="22"/>
      <c r="P268" s="57"/>
    </row>
    <row r="269" spans="14:16" ht="12.75">
      <c r="N269" s="22"/>
      <c r="O269" s="22"/>
      <c r="P269" s="57"/>
    </row>
    <row r="270" spans="14:16" ht="12.75">
      <c r="N270" s="22"/>
      <c r="O270" s="22"/>
      <c r="P270" s="57"/>
    </row>
    <row r="271" spans="14:16" ht="12.75">
      <c r="N271" s="22"/>
      <c r="O271" s="22"/>
      <c r="P271" s="57"/>
    </row>
    <row r="272" spans="14:16" ht="12.75">
      <c r="N272" s="22"/>
      <c r="O272" s="22"/>
      <c r="P272" s="57"/>
    </row>
    <row r="273" spans="14:16" ht="12.75">
      <c r="N273" s="22"/>
      <c r="O273" s="22"/>
      <c r="P273" s="57"/>
    </row>
    <row r="274" spans="14:16" ht="12.75">
      <c r="N274" s="22"/>
      <c r="O274" s="22"/>
      <c r="P274" s="57"/>
    </row>
    <row r="275" spans="14:16" ht="12.75">
      <c r="N275" s="22"/>
      <c r="O275" s="22"/>
      <c r="P275" s="57"/>
    </row>
    <row r="276" spans="14:16" ht="12.75">
      <c r="N276" s="22"/>
      <c r="O276" s="22"/>
      <c r="P276" s="57"/>
    </row>
    <row r="277" spans="14:16" ht="12.75">
      <c r="N277" s="22"/>
      <c r="O277" s="22"/>
      <c r="P277" s="57"/>
    </row>
    <row r="278" spans="14:16" ht="12.75">
      <c r="N278" s="22"/>
      <c r="O278" s="22"/>
      <c r="P278" s="57"/>
    </row>
    <row r="279" spans="14:16" ht="12.75">
      <c r="N279" s="22"/>
      <c r="O279" s="22"/>
      <c r="P279" s="57"/>
    </row>
    <row r="280" spans="14:16" ht="12.75">
      <c r="N280" s="22"/>
      <c r="O280" s="22"/>
      <c r="P280" s="57"/>
    </row>
    <row r="281" spans="14:16" ht="12.75">
      <c r="N281" s="22"/>
      <c r="O281" s="22"/>
      <c r="P281" s="57"/>
    </row>
    <row r="282" spans="14:16" ht="12.75">
      <c r="N282" s="22"/>
      <c r="O282" s="22"/>
      <c r="P282" s="57"/>
    </row>
    <row r="283" spans="14:16" ht="12.75">
      <c r="N283" s="22"/>
      <c r="O283" s="22"/>
      <c r="P283" s="57"/>
    </row>
    <row r="284" spans="14:16" ht="12.75">
      <c r="N284" s="22"/>
      <c r="O284" s="22"/>
      <c r="P284" s="57"/>
    </row>
    <row r="285" spans="14:16" ht="12.75">
      <c r="N285" s="22"/>
      <c r="O285" s="22"/>
      <c r="P285" s="57"/>
    </row>
    <row r="286" spans="14:16" ht="12.75">
      <c r="N286" s="22"/>
      <c r="O286" s="22"/>
      <c r="P286" s="57"/>
    </row>
    <row r="287" spans="14:16" ht="12.75">
      <c r="N287" s="22"/>
      <c r="O287" s="22"/>
      <c r="P287" s="57"/>
    </row>
    <row r="288" spans="14:16" ht="12.75">
      <c r="N288" s="22"/>
      <c r="O288" s="22"/>
      <c r="P288" s="57"/>
    </row>
    <row r="289" spans="14:16" ht="12.75">
      <c r="N289" s="22"/>
      <c r="O289" s="22"/>
      <c r="P289" s="57"/>
    </row>
    <row r="290" spans="14:16" ht="12.75">
      <c r="N290" s="22"/>
      <c r="O290" s="22"/>
      <c r="P290" s="57"/>
    </row>
    <row r="291" spans="14:16" ht="12.75">
      <c r="N291" s="22"/>
      <c r="O291" s="22"/>
      <c r="P291" s="57"/>
    </row>
    <row r="292" spans="14:16" ht="12.75">
      <c r="N292" s="22"/>
      <c r="O292" s="22"/>
      <c r="P292" s="57"/>
    </row>
    <row r="293" spans="14:16" ht="12.75">
      <c r="N293" s="22"/>
      <c r="O293" s="22"/>
      <c r="P293" s="57"/>
    </row>
    <row r="294" spans="14:16" ht="12.75">
      <c r="N294" s="22"/>
      <c r="O294" s="22"/>
      <c r="P294" s="57"/>
    </row>
    <row r="295" spans="14:16" ht="12.75">
      <c r="N295" s="22"/>
      <c r="O295" s="22"/>
      <c r="P295" s="57"/>
    </row>
    <row r="296" spans="14:16" ht="12.75">
      <c r="N296" s="22"/>
      <c r="O296" s="22"/>
      <c r="P296" s="57"/>
    </row>
    <row r="297" spans="14:16" ht="12.75">
      <c r="N297" s="22"/>
      <c r="O297" s="22"/>
      <c r="P297" s="57"/>
    </row>
    <row r="298" spans="14:16" ht="12.75">
      <c r="N298" s="22"/>
      <c r="O298" s="22"/>
      <c r="P298" s="57"/>
    </row>
    <row r="299" spans="14:16" ht="12.75">
      <c r="N299" s="22"/>
      <c r="O299" s="22"/>
      <c r="P299" s="57"/>
    </row>
    <row r="300" spans="14:16" ht="12.75">
      <c r="N300" s="22"/>
      <c r="O300" s="22"/>
      <c r="P300" s="57"/>
    </row>
    <row r="301" spans="14:16" ht="12.75">
      <c r="N301" s="22"/>
      <c r="O301" s="22"/>
      <c r="P301" s="57"/>
    </row>
    <row r="302" spans="14:16" ht="12.75">
      <c r="N302" s="22"/>
      <c r="O302" s="22"/>
      <c r="P302" s="57"/>
    </row>
    <row r="303" spans="14:16" ht="12.75">
      <c r="N303" s="22"/>
      <c r="O303" s="22"/>
      <c r="P303" s="57"/>
    </row>
    <row r="304" spans="14:16" ht="12.75">
      <c r="N304" s="22"/>
      <c r="O304" s="22"/>
      <c r="P304" s="57"/>
    </row>
    <row r="305" spans="14:16" ht="12.75">
      <c r="N305" s="22"/>
      <c r="O305" s="22"/>
      <c r="P305" s="57"/>
    </row>
    <row r="306" spans="14:16" ht="12.75">
      <c r="N306" s="22"/>
      <c r="O306" s="22"/>
      <c r="P306" s="57"/>
    </row>
    <row r="307" spans="14:16" ht="12.75">
      <c r="N307" s="22"/>
      <c r="O307" s="22"/>
      <c r="P307" s="57"/>
    </row>
    <row r="308" spans="14:16" ht="12.75">
      <c r="N308" s="22"/>
      <c r="O308" s="22"/>
      <c r="P308" s="57"/>
    </row>
    <row r="309" spans="14:16" ht="12.75">
      <c r="N309" s="22"/>
      <c r="O309" s="22"/>
      <c r="P309" s="57"/>
    </row>
    <row r="310" spans="14:16" ht="12.75">
      <c r="N310" s="22"/>
      <c r="O310" s="22"/>
      <c r="P310" s="57"/>
    </row>
    <row r="311" spans="14:16" ht="12.75">
      <c r="N311" s="22"/>
      <c r="O311" s="22"/>
      <c r="P311" s="57"/>
    </row>
    <row r="312" spans="14:16" ht="12.75">
      <c r="N312" s="22"/>
      <c r="O312" s="22"/>
      <c r="P312" s="57"/>
    </row>
    <row r="313" spans="14:16" ht="12.75">
      <c r="N313" s="22"/>
      <c r="O313" s="22"/>
      <c r="P313" s="57"/>
    </row>
    <row r="314" spans="14:16" ht="12.75">
      <c r="N314" s="22"/>
      <c r="O314" s="22"/>
      <c r="P314" s="57"/>
    </row>
    <row r="315" spans="14:16" ht="12.75">
      <c r="N315" s="22"/>
      <c r="O315" s="22"/>
      <c r="P315" s="57"/>
    </row>
    <row r="316" spans="14:16" ht="12.75">
      <c r="N316" s="22"/>
      <c r="O316" s="22"/>
      <c r="P316" s="57"/>
    </row>
    <row r="317" spans="14:16" ht="12.75">
      <c r="N317" s="22"/>
      <c r="O317" s="22"/>
      <c r="P317" s="57"/>
    </row>
    <row r="318" spans="14:16" ht="12.75">
      <c r="N318" s="22"/>
      <c r="O318" s="22"/>
      <c r="P318" s="57"/>
    </row>
    <row r="319" spans="14:16" ht="12.75">
      <c r="N319" s="22"/>
      <c r="O319" s="22"/>
      <c r="P319" s="57"/>
    </row>
    <row r="320" spans="14:16" ht="12.75">
      <c r="N320" s="22"/>
      <c r="O320" s="22"/>
      <c r="P320" s="57"/>
    </row>
    <row r="321" spans="14:16" ht="12.75">
      <c r="N321" s="22"/>
      <c r="O321" s="22"/>
      <c r="P321" s="57"/>
    </row>
    <row r="322" spans="14:16" ht="12.75">
      <c r="N322" s="22"/>
      <c r="O322" s="22"/>
      <c r="P322" s="57"/>
    </row>
    <row r="323" spans="14:16" ht="12.75">
      <c r="N323" s="22"/>
      <c r="O323" s="22"/>
      <c r="P323" s="57"/>
    </row>
    <row r="324" spans="14:16" ht="12.75">
      <c r="N324" s="22"/>
      <c r="O324" s="22"/>
      <c r="P324" s="57"/>
    </row>
    <row r="325" spans="14:16" ht="12.75">
      <c r="N325" s="22"/>
      <c r="O325" s="22"/>
      <c r="P325" s="57"/>
    </row>
    <row r="326" spans="14:16" ht="12.75">
      <c r="N326" s="22"/>
      <c r="O326" s="22"/>
      <c r="P326" s="57"/>
    </row>
    <row r="327" spans="14:16" ht="12.75">
      <c r="N327" s="22"/>
      <c r="O327" s="22"/>
      <c r="P327" s="57"/>
    </row>
    <row r="328" spans="14:16" ht="12.75">
      <c r="N328" s="22"/>
      <c r="O328" s="22"/>
      <c r="P328" s="57"/>
    </row>
    <row r="329" spans="14:16" ht="12.75">
      <c r="N329" s="22"/>
      <c r="O329" s="22"/>
      <c r="P329" s="57"/>
    </row>
    <row r="330" spans="14:16" ht="12.75">
      <c r="N330" s="22"/>
      <c r="O330" s="22"/>
      <c r="P330" s="57"/>
    </row>
    <row r="331" spans="14:16" ht="12.75">
      <c r="N331" s="22"/>
      <c r="O331" s="22"/>
      <c r="P331" s="57"/>
    </row>
    <row r="332" spans="14:16" ht="12.75">
      <c r="N332" s="22"/>
      <c r="O332" s="22"/>
      <c r="P332" s="57"/>
    </row>
    <row r="333" spans="14:16" ht="12.75">
      <c r="N333" s="22"/>
      <c r="O333" s="22"/>
      <c r="P333" s="57"/>
    </row>
    <row r="334" spans="14:16" ht="12.75">
      <c r="N334" s="22"/>
      <c r="O334" s="22"/>
      <c r="P334" s="57"/>
    </row>
    <row r="335" spans="14:16" ht="12.75">
      <c r="N335" s="22"/>
      <c r="O335" s="22"/>
      <c r="P335" s="57"/>
    </row>
    <row r="336" spans="14:16" ht="12.75">
      <c r="N336" s="22"/>
      <c r="O336" s="22"/>
      <c r="P336" s="57"/>
    </row>
    <row r="337" spans="14:16" ht="12.75">
      <c r="N337" s="22"/>
      <c r="O337" s="22"/>
      <c r="P337" s="57"/>
    </row>
    <row r="338" spans="14:16" ht="12.75">
      <c r="N338" s="22"/>
      <c r="O338" s="22"/>
      <c r="P338" s="57"/>
    </row>
    <row r="339" spans="14:16" ht="12.75">
      <c r="N339" s="22"/>
      <c r="O339" s="22"/>
      <c r="P339" s="57"/>
    </row>
    <row r="340" spans="14:16" ht="12.75">
      <c r="N340" s="22"/>
      <c r="O340" s="22"/>
      <c r="P340" s="57"/>
    </row>
    <row r="341" spans="14:16" ht="12.75">
      <c r="N341" s="22"/>
      <c r="O341" s="22"/>
      <c r="P341" s="57"/>
    </row>
    <row r="342" spans="14:16" ht="12.75">
      <c r="N342" s="22"/>
      <c r="O342" s="22"/>
      <c r="P342" s="57"/>
    </row>
    <row r="343" spans="14:16" ht="12.75">
      <c r="N343" s="22"/>
      <c r="O343" s="22"/>
      <c r="P343" s="57"/>
    </row>
    <row r="344" spans="14:16" ht="12.75">
      <c r="N344" s="22"/>
      <c r="O344" s="22"/>
      <c r="P344" s="57"/>
    </row>
    <row r="345" spans="14:16" ht="12.75">
      <c r="N345" s="22"/>
      <c r="O345" s="22"/>
      <c r="P345" s="57"/>
    </row>
    <row r="346" spans="14:16" ht="12.75">
      <c r="N346" s="22"/>
      <c r="O346" s="22"/>
      <c r="P346" s="57"/>
    </row>
    <row r="347" spans="14:16" ht="12.75">
      <c r="N347" s="22"/>
      <c r="O347" s="22"/>
      <c r="P347" s="57"/>
    </row>
    <row r="348" spans="14:16" ht="12.75">
      <c r="N348" s="22"/>
      <c r="O348" s="22"/>
      <c r="P348" s="57"/>
    </row>
    <row r="349" spans="14:16" ht="12.75">
      <c r="N349" s="22"/>
      <c r="O349" s="22"/>
      <c r="P349" s="57"/>
    </row>
    <row r="350" spans="14:16" ht="12.75">
      <c r="N350" s="22"/>
      <c r="O350" s="22"/>
      <c r="P350" s="57"/>
    </row>
    <row r="351" spans="14:16" ht="12.75">
      <c r="N351" s="22"/>
      <c r="O351" s="22"/>
      <c r="P351" s="57"/>
    </row>
    <row r="352" spans="14:16" ht="12.75">
      <c r="N352" s="22"/>
      <c r="O352" s="22"/>
      <c r="P352" s="57"/>
    </row>
    <row r="353" spans="14:16" ht="12.75">
      <c r="N353" s="22"/>
      <c r="O353" s="22"/>
      <c r="P353" s="57"/>
    </row>
    <row r="354" spans="14:16" ht="12.75">
      <c r="N354" s="22"/>
      <c r="O354" s="22"/>
      <c r="P354" s="57"/>
    </row>
    <row r="355" spans="14:16" ht="12.75">
      <c r="N355" s="22"/>
      <c r="O355" s="22"/>
      <c r="P355" s="57"/>
    </row>
    <row r="356" spans="14:16" ht="12.75">
      <c r="N356" s="22"/>
      <c r="O356" s="22"/>
      <c r="P356" s="57"/>
    </row>
    <row r="357" spans="14:16" ht="12.75">
      <c r="N357" s="22"/>
      <c r="O357" s="22"/>
      <c r="P357" s="57"/>
    </row>
    <row r="358" spans="14:16" ht="12.75">
      <c r="N358" s="22"/>
      <c r="O358" s="22"/>
      <c r="P358" s="57"/>
    </row>
    <row r="359" spans="14:16" ht="12.75">
      <c r="N359" s="22"/>
      <c r="O359" s="22"/>
      <c r="P359" s="57"/>
    </row>
    <row r="360" spans="14:16" ht="12.75">
      <c r="N360" s="22"/>
      <c r="O360" s="22"/>
      <c r="P360" s="57"/>
    </row>
    <row r="361" spans="14:16" ht="12.75">
      <c r="N361" s="22"/>
      <c r="O361" s="22"/>
      <c r="P361" s="57"/>
    </row>
    <row r="362" spans="14:16" ht="12.75">
      <c r="N362" s="22"/>
      <c r="O362" s="22"/>
      <c r="P362" s="57"/>
    </row>
    <row r="363" spans="14:16" ht="12.75">
      <c r="N363" s="22"/>
      <c r="O363" s="22"/>
      <c r="P363" s="57"/>
    </row>
    <row r="364" spans="14:16" ht="12.75">
      <c r="N364" s="22"/>
      <c r="O364" s="22"/>
      <c r="P364" s="57"/>
    </row>
    <row r="365" spans="14:16" ht="12.75">
      <c r="N365" s="22"/>
      <c r="O365" s="22"/>
      <c r="P365" s="57"/>
    </row>
    <row r="366" spans="14:16" ht="12.75">
      <c r="N366" s="22"/>
      <c r="O366" s="22"/>
      <c r="P366" s="57"/>
    </row>
    <row r="367" spans="14:16" ht="12.75">
      <c r="N367" s="22"/>
      <c r="O367" s="22"/>
      <c r="P367" s="57"/>
    </row>
    <row r="368" spans="14:16" ht="12.75">
      <c r="N368" s="22"/>
      <c r="O368" s="22"/>
      <c r="P368" s="57"/>
    </row>
    <row r="369" spans="14:16" ht="12.75">
      <c r="N369" s="22"/>
      <c r="O369" s="22"/>
      <c r="P369" s="57"/>
    </row>
    <row r="370" spans="14:16" ht="12.75">
      <c r="N370" s="22"/>
      <c r="O370" s="22"/>
      <c r="P370" s="57"/>
    </row>
    <row r="371" spans="14:16" ht="12.75">
      <c r="N371" s="22"/>
      <c r="O371" s="22"/>
      <c r="P371" s="57"/>
    </row>
    <row r="372" spans="14:16" ht="12.75">
      <c r="N372" s="22"/>
      <c r="O372" s="22"/>
      <c r="P372" s="57"/>
    </row>
    <row r="373" spans="14:16" ht="12.75">
      <c r="N373" s="22"/>
      <c r="O373" s="22"/>
      <c r="P373" s="57"/>
    </row>
    <row r="374" spans="14:16" ht="12.75">
      <c r="N374" s="22"/>
      <c r="O374" s="22"/>
      <c r="P374" s="57"/>
    </row>
    <row r="375" spans="14:16" ht="12.75">
      <c r="N375" s="22"/>
      <c r="O375" s="22"/>
      <c r="P375" s="57"/>
    </row>
    <row r="376" spans="14:16" ht="12.75">
      <c r="N376" s="22"/>
      <c r="O376" s="22"/>
      <c r="P376" s="57"/>
    </row>
    <row r="377" spans="14:16" ht="12.75">
      <c r="N377" s="22"/>
      <c r="O377" s="22"/>
      <c r="P377" s="57"/>
    </row>
    <row r="378" spans="14:16" ht="12.75">
      <c r="N378" s="22"/>
      <c r="O378" s="22"/>
      <c r="P378" s="57"/>
    </row>
    <row r="379" spans="14:16" ht="12.75">
      <c r="N379" s="22"/>
      <c r="O379" s="22"/>
      <c r="P379" s="57"/>
    </row>
    <row r="380" spans="14:16" ht="12.75">
      <c r="N380" s="22"/>
      <c r="O380" s="22"/>
      <c r="P380" s="57"/>
    </row>
    <row r="381" spans="14:16" ht="12.75">
      <c r="N381" s="22"/>
      <c r="O381" s="22"/>
      <c r="P381" s="57"/>
    </row>
    <row r="382" spans="14:16" ht="12.75">
      <c r="N382" s="22"/>
      <c r="O382" s="22"/>
      <c r="P382" s="57"/>
    </row>
    <row r="383" spans="14:16" ht="12.75">
      <c r="N383" s="22"/>
      <c r="O383" s="22"/>
      <c r="P383" s="57"/>
    </row>
    <row r="384" spans="14:16" ht="12.75">
      <c r="N384" s="22"/>
      <c r="O384" s="22"/>
      <c r="P384" s="57"/>
    </row>
    <row r="385" spans="14:16" ht="12.75">
      <c r="N385" s="22"/>
      <c r="O385" s="22"/>
      <c r="P385" s="57"/>
    </row>
    <row r="386" spans="14:16" ht="12.75">
      <c r="N386" s="22"/>
      <c r="O386" s="22"/>
      <c r="P386" s="57"/>
    </row>
    <row r="387" spans="14:16" ht="12.75">
      <c r="N387" s="22"/>
      <c r="O387" s="22"/>
      <c r="P387" s="57"/>
    </row>
    <row r="388" spans="14:16" ht="12.75">
      <c r="N388" s="22"/>
      <c r="O388" s="22"/>
      <c r="P388" s="57"/>
    </row>
    <row r="389" spans="14:16" ht="12.75">
      <c r="N389" s="22"/>
      <c r="O389" s="22"/>
      <c r="P389" s="57"/>
    </row>
    <row r="390" spans="14:16" ht="12.75">
      <c r="N390" s="22"/>
      <c r="O390" s="22"/>
      <c r="P390" s="57"/>
    </row>
    <row r="391" spans="14:15" ht="12.75">
      <c r="N391" s="22"/>
      <c r="O391" s="22"/>
    </row>
    <row r="392" spans="14:15" ht="12.75">
      <c r="N392" s="22"/>
      <c r="O392" s="22"/>
    </row>
    <row r="393" spans="14:15" ht="12.75">
      <c r="N393" s="22"/>
      <c r="O393" s="22"/>
    </row>
    <row r="394" spans="14:15" ht="12.75">
      <c r="N394" s="22"/>
      <c r="O394" s="22"/>
    </row>
    <row r="395" spans="14:15" ht="12.75">
      <c r="N395" s="22"/>
      <c r="O395" s="22"/>
    </row>
    <row r="396" spans="14:15" ht="12.75">
      <c r="N396" s="22"/>
      <c r="O396" s="22"/>
    </row>
    <row r="397" spans="14:15" ht="12.75">
      <c r="N397" s="22"/>
      <c r="O397" s="22"/>
    </row>
    <row r="398" spans="14:15" ht="12.75">
      <c r="N398" s="22"/>
      <c r="O398" s="22"/>
    </row>
    <row r="399" spans="14:15" ht="12.75">
      <c r="N399" s="22"/>
      <c r="O399" s="22"/>
    </row>
    <row r="400" spans="14:15" ht="12.75">
      <c r="N400" s="22"/>
      <c r="O400" s="22"/>
    </row>
    <row r="401" spans="14:15" ht="12.75">
      <c r="N401" s="22"/>
      <c r="O401" s="22"/>
    </row>
    <row r="402" spans="14:15" ht="12.75">
      <c r="N402" s="22"/>
      <c r="O402" s="22"/>
    </row>
    <row r="403" spans="14:15" ht="12.75">
      <c r="N403" s="22"/>
      <c r="O403" s="22"/>
    </row>
    <row r="404" spans="14:15" ht="12.75">
      <c r="N404" s="22"/>
      <c r="O404" s="22"/>
    </row>
    <row r="405" spans="14:15" ht="12.75">
      <c r="N405" s="22"/>
      <c r="O405" s="22"/>
    </row>
    <row r="406" spans="14:15" ht="12.75">
      <c r="N406" s="22"/>
      <c r="O406" s="22"/>
    </row>
    <row r="407" spans="14:15" ht="12.75">
      <c r="N407" s="22"/>
      <c r="O407" s="22"/>
    </row>
    <row r="408" spans="14:15" ht="12.75">
      <c r="N408" s="22"/>
      <c r="O408" s="22"/>
    </row>
    <row r="409" spans="14:15" ht="12.75">
      <c r="N409" s="22"/>
      <c r="O409" s="22"/>
    </row>
    <row r="410" spans="14:15" ht="12.75">
      <c r="N410" s="22"/>
      <c r="O410" s="22"/>
    </row>
    <row r="411" spans="14:15" ht="12.75">
      <c r="N411" s="22"/>
      <c r="O411" s="22"/>
    </row>
    <row r="412" spans="14:15" ht="12.75">
      <c r="N412" s="22"/>
      <c r="O412" s="22"/>
    </row>
    <row r="413" spans="14:15" ht="12.75">
      <c r="N413" s="22"/>
      <c r="O413" s="22"/>
    </row>
    <row r="414" spans="14:15" ht="12.75">
      <c r="N414" s="22"/>
      <c r="O414" s="22"/>
    </row>
    <row r="415" spans="14:15" ht="12.75">
      <c r="N415" s="22"/>
      <c r="O415" s="22"/>
    </row>
    <row r="416" spans="14:15" ht="12.75">
      <c r="N416" s="22"/>
      <c r="O416" s="22"/>
    </row>
    <row r="417" spans="14:15" ht="12.75">
      <c r="N417" s="22"/>
      <c r="O417" s="22"/>
    </row>
    <row r="418" spans="14:15" ht="12.75">
      <c r="N418" s="22"/>
      <c r="O418" s="22"/>
    </row>
    <row r="419" spans="14:15" ht="12.75">
      <c r="N419" s="22"/>
      <c r="O419" s="22"/>
    </row>
    <row r="420" spans="14:15" ht="12.75">
      <c r="N420" s="22"/>
      <c r="O420" s="22"/>
    </row>
    <row r="421" spans="14:15" ht="12.75">
      <c r="N421" s="22"/>
      <c r="O421" s="22"/>
    </row>
    <row r="422" spans="14:15" ht="12.75">
      <c r="N422" s="22"/>
      <c r="O422" s="22"/>
    </row>
    <row r="423" spans="14:15" ht="12.75">
      <c r="N423" s="22"/>
      <c r="O423" s="22"/>
    </row>
    <row r="424" spans="14:15" ht="12.75">
      <c r="N424" s="22"/>
      <c r="O424" s="22"/>
    </row>
    <row r="425" spans="14:15" ht="12.75">
      <c r="N425" s="22"/>
      <c r="O425" s="22"/>
    </row>
    <row r="426" spans="14:15" ht="12.75">
      <c r="N426" s="22"/>
      <c r="O426" s="22"/>
    </row>
    <row r="427" spans="14:15" ht="12.75">
      <c r="N427" s="22"/>
      <c r="O427" s="22"/>
    </row>
    <row r="428" spans="14:15" ht="12.75">
      <c r="N428" s="22"/>
      <c r="O428" s="22"/>
    </row>
    <row r="429" spans="14:15" ht="12.75">
      <c r="N429" s="22"/>
      <c r="O429" s="22"/>
    </row>
    <row r="430" spans="14:15" ht="12.75">
      <c r="N430" s="22"/>
      <c r="O430" s="22"/>
    </row>
    <row r="431" spans="14:15" ht="12.75">
      <c r="N431" s="22"/>
      <c r="O431" s="22"/>
    </row>
    <row r="432" spans="14:15" ht="12.75">
      <c r="N432" s="22"/>
      <c r="O432" s="22"/>
    </row>
    <row r="433" spans="14:15" ht="12.75">
      <c r="N433" s="22"/>
      <c r="O433" s="22"/>
    </row>
    <row r="434" spans="14:15" ht="12.75">
      <c r="N434" s="22"/>
      <c r="O434" s="22"/>
    </row>
    <row r="435" spans="14:15" ht="12.75">
      <c r="N435" s="22"/>
      <c r="O435" s="22"/>
    </row>
    <row r="436" spans="14:15" ht="12.75">
      <c r="N436" s="22"/>
      <c r="O436" s="22"/>
    </row>
    <row r="437" spans="14:15" ht="12.75">
      <c r="N437" s="22"/>
      <c r="O437" s="22"/>
    </row>
    <row r="438" spans="14:15" ht="12.75">
      <c r="N438" s="22"/>
      <c r="O438" s="22"/>
    </row>
    <row r="439" spans="14:15" ht="12.75">
      <c r="N439" s="22"/>
      <c r="O439" s="22"/>
    </row>
    <row r="440" spans="14:15" ht="12.75">
      <c r="N440" s="22"/>
      <c r="O440" s="22"/>
    </row>
    <row r="441" spans="14:15" ht="12.75">
      <c r="N441" s="22"/>
      <c r="O441" s="22"/>
    </row>
    <row r="442" spans="14:15" ht="12.75">
      <c r="N442" s="22"/>
      <c r="O442" s="22"/>
    </row>
    <row r="443" spans="14:15" ht="12.75">
      <c r="N443" s="22"/>
      <c r="O443" s="22"/>
    </row>
    <row r="444" spans="14:15" ht="12.75">
      <c r="N444" s="22"/>
      <c r="O444" s="22"/>
    </row>
    <row r="445" spans="14:15" ht="12.75">
      <c r="N445" s="22"/>
      <c r="O445" s="22"/>
    </row>
    <row r="446" spans="14:15" ht="12.75">
      <c r="N446" s="22"/>
      <c r="O446" s="22"/>
    </row>
    <row r="447" spans="14:15" ht="12.75">
      <c r="N447" s="22"/>
      <c r="O447" s="22"/>
    </row>
    <row r="448" spans="14:15" ht="12.75">
      <c r="N448" s="22"/>
      <c r="O448" s="22"/>
    </row>
    <row r="449" spans="14:15" ht="12.75">
      <c r="N449" s="22"/>
      <c r="O449" s="22"/>
    </row>
    <row r="450" spans="14:15" ht="12.75">
      <c r="N450" s="22"/>
      <c r="O450" s="22"/>
    </row>
    <row r="451" spans="14:15" ht="12.75">
      <c r="N451" s="22"/>
      <c r="O451" s="22"/>
    </row>
    <row r="452" spans="14:15" ht="12.75">
      <c r="N452" s="22"/>
      <c r="O452" s="22"/>
    </row>
    <row r="453" spans="14:15" ht="12.75">
      <c r="N453" s="22"/>
      <c r="O453" s="22"/>
    </row>
    <row r="454" spans="14:15" ht="12.75">
      <c r="N454" s="22"/>
      <c r="O454" s="22"/>
    </row>
    <row r="455" spans="14:15" ht="12.75">
      <c r="N455" s="22"/>
      <c r="O455" s="22"/>
    </row>
    <row r="456" spans="14:15" ht="12.75">
      <c r="N456" s="22"/>
      <c r="O456" s="22"/>
    </row>
    <row r="457" spans="14:15" ht="12.75">
      <c r="N457" s="22"/>
      <c r="O457" s="22"/>
    </row>
    <row r="458" spans="14:15" ht="12.75">
      <c r="N458" s="22"/>
      <c r="O458" s="22"/>
    </row>
    <row r="459" spans="14:15" ht="12.75">
      <c r="N459" s="22"/>
      <c r="O459" s="22"/>
    </row>
    <row r="460" spans="14:15" ht="12.75">
      <c r="N460" s="22"/>
      <c r="O460" s="22"/>
    </row>
    <row r="461" spans="14:15" ht="12.75">
      <c r="N461" s="22"/>
      <c r="O461" s="22"/>
    </row>
    <row r="462" spans="14:15" ht="12.75">
      <c r="N462" s="22"/>
      <c r="O462" s="22"/>
    </row>
    <row r="463" spans="14:15" ht="12.75">
      <c r="N463" s="22"/>
      <c r="O463" s="22"/>
    </row>
    <row r="464" spans="14:15" ht="12.75">
      <c r="N464" s="22"/>
      <c r="O464" s="22"/>
    </row>
    <row r="465" spans="14:15" ht="12.75">
      <c r="N465" s="22"/>
      <c r="O465" s="22"/>
    </row>
    <row r="466" spans="14:15" ht="12.75">
      <c r="N466" s="22"/>
      <c r="O466" s="22"/>
    </row>
    <row r="467" spans="14:15" ht="12.75">
      <c r="N467" s="22"/>
      <c r="O467" s="22"/>
    </row>
    <row r="468" spans="14:15" ht="12.75">
      <c r="N468" s="22"/>
      <c r="O468" s="22"/>
    </row>
    <row r="469" spans="14:15" ht="12.75">
      <c r="N469" s="22"/>
      <c r="O469" s="22"/>
    </row>
    <row r="470" spans="14:15" ht="12.75">
      <c r="N470" s="22"/>
      <c r="O470" s="22"/>
    </row>
    <row r="471" spans="14:15" ht="12.75">
      <c r="N471" s="22"/>
      <c r="O471" s="22"/>
    </row>
    <row r="472" spans="14:15" ht="12.75">
      <c r="N472" s="22"/>
      <c r="O472" s="22"/>
    </row>
    <row r="473" spans="14:15" ht="12.75">
      <c r="N473" s="22"/>
      <c r="O473" s="22"/>
    </row>
    <row r="474" spans="14:15" ht="12.75">
      <c r="N474" s="22"/>
      <c r="O474" s="22"/>
    </row>
    <row r="475" spans="14:15" ht="12.75">
      <c r="N475" s="22"/>
      <c r="O475" s="22"/>
    </row>
    <row r="476" spans="14:15" ht="12.75">
      <c r="N476" s="22"/>
      <c r="O476" s="22"/>
    </row>
    <row r="477" spans="14:15" ht="12.75">
      <c r="N477" s="22"/>
      <c r="O477" s="22"/>
    </row>
    <row r="478" spans="14:15" ht="12.75">
      <c r="N478" s="22"/>
      <c r="O478" s="22"/>
    </row>
    <row r="479" spans="14:15" ht="12.75">
      <c r="N479" s="22"/>
      <c r="O479" s="22"/>
    </row>
    <row r="480" spans="14:15" ht="12.75">
      <c r="N480" s="22"/>
      <c r="O480" s="22"/>
    </row>
    <row r="481" spans="14:15" ht="12.75">
      <c r="N481" s="22"/>
      <c r="O481" s="22"/>
    </row>
    <row r="482" spans="14:15" ht="12.75">
      <c r="N482" s="22"/>
      <c r="O482" s="22"/>
    </row>
    <row r="483" spans="14:15" ht="12.75">
      <c r="N483" s="22"/>
      <c r="O483" s="22"/>
    </row>
    <row r="484" spans="14:15" ht="12.75">
      <c r="N484" s="22"/>
      <c r="O484" s="22"/>
    </row>
    <row r="485" spans="14:15" ht="12.75">
      <c r="N485" s="22"/>
      <c r="O485" s="22"/>
    </row>
    <row r="486" spans="14:15" ht="12.75">
      <c r="N486" s="22"/>
      <c r="O486" s="22"/>
    </row>
    <row r="487" spans="14:15" ht="12.75">
      <c r="N487" s="22"/>
      <c r="O487" s="22"/>
    </row>
    <row r="488" spans="14:15" ht="12.75">
      <c r="N488" s="22"/>
      <c r="O488" s="22"/>
    </row>
    <row r="489" spans="14:15" ht="12.75">
      <c r="N489" s="22"/>
      <c r="O489" s="22"/>
    </row>
    <row r="490" spans="14:15" ht="12.75">
      <c r="N490" s="22"/>
      <c r="O490" s="22"/>
    </row>
    <row r="491" spans="14:15" ht="12.75">
      <c r="N491" s="22"/>
      <c r="O491" s="22"/>
    </row>
    <row r="492" spans="14:15" ht="12.75">
      <c r="N492" s="22"/>
      <c r="O492" s="22"/>
    </row>
    <row r="493" spans="14:15" ht="12.75">
      <c r="N493" s="22"/>
      <c r="O493" s="22"/>
    </row>
    <row r="494" spans="14:15" ht="12.75">
      <c r="N494" s="22"/>
      <c r="O494" s="22"/>
    </row>
    <row r="495" spans="14:15" ht="12.75">
      <c r="N495" s="22"/>
      <c r="O495" s="22"/>
    </row>
    <row r="496" spans="14:15" ht="12.75">
      <c r="N496" s="22"/>
      <c r="O496" s="22"/>
    </row>
    <row r="497" spans="14:15" ht="12.75">
      <c r="N497" s="22"/>
      <c r="O497" s="22"/>
    </row>
    <row r="498" spans="14:15" ht="12.75">
      <c r="N498" s="22"/>
      <c r="O498" s="22"/>
    </row>
    <row r="499" spans="14:15" ht="12.75">
      <c r="N499" s="22"/>
      <c r="O499" s="22"/>
    </row>
    <row r="500" spans="14:15" ht="12.75">
      <c r="N500" s="22"/>
      <c r="O500" s="22"/>
    </row>
    <row r="501" spans="14:15" ht="12.75">
      <c r="N501" s="22"/>
      <c r="O501" s="22"/>
    </row>
    <row r="502" spans="14:15" ht="12.75">
      <c r="N502" s="22"/>
      <c r="O502" s="22"/>
    </row>
    <row r="503" spans="14:15" ht="12.75">
      <c r="N503" s="22"/>
      <c r="O503" s="22"/>
    </row>
    <row r="504" spans="14:15" ht="12.75">
      <c r="N504" s="22"/>
      <c r="O504" s="22"/>
    </row>
    <row r="505" spans="14:15" ht="12.75">
      <c r="N505" s="22"/>
      <c r="O505" s="22"/>
    </row>
    <row r="506" spans="14:15" ht="12.75">
      <c r="N506" s="22"/>
      <c r="O506" s="22"/>
    </row>
    <row r="507" spans="14:15" ht="12.75">
      <c r="N507" s="22"/>
      <c r="O507" s="22"/>
    </row>
    <row r="508" spans="14:15" ht="12.75">
      <c r="N508" s="22"/>
      <c r="O508" s="22"/>
    </row>
    <row r="509" spans="14:15" ht="12.75">
      <c r="N509" s="22"/>
      <c r="O509" s="22"/>
    </row>
    <row r="510" spans="14:15" ht="12.75">
      <c r="N510" s="22"/>
      <c r="O510" s="22"/>
    </row>
    <row r="511" spans="14:15" ht="12.75">
      <c r="N511" s="22"/>
      <c r="O511" s="22"/>
    </row>
    <row r="512" spans="14:15" ht="12.75">
      <c r="N512" s="22"/>
      <c r="O512" s="22"/>
    </row>
    <row r="513" spans="14:15" ht="12.75">
      <c r="N513" s="22"/>
      <c r="O513" s="22"/>
    </row>
    <row r="514" spans="14:15" ht="12.75">
      <c r="N514" s="22"/>
      <c r="O514" s="22"/>
    </row>
    <row r="515" spans="14:15" ht="12.75">
      <c r="N515" s="22"/>
      <c r="O515" s="22"/>
    </row>
    <row r="516" spans="14:15" ht="12.75">
      <c r="N516" s="22"/>
      <c r="O516" s="22"/>
    </row>
    <row r="517" spans="14:15" ht="12.75">
      <c r="N517" s="22"/>
      <c r="O517" s="22"/>
    </row>
    <row r="518" spans="14:15" ht="12.75">
      <c r="N518" s="22"/>
      <c r="O518" s="22"/>
    </row>
    <row r="519" spans="14:15" ht="12.75">
      <c r="N519" s="22"/>
      <c r="O519" s="22"/>
    </row>
    <row r="520" spans="14:15" ht="12.75">
      <c r="N520" s="22"/>
      <c r="O520" s="22"/>
    </row>
    <row r="521" spans="14:15" ht="12.75">
      <c r="N521" s="22"/>
      <c r="O521" s="22"/>
    </row>
    <row r="522" spans="14:15" ht="12.75">
      <c r="N522" s="22"/>
      <c r="O522" s="22"/>
    </row>
    <row r="523" spans="14:15" ht="12.75">
      <c r="N523" s="22"/>
      <c r="O523" s="22"/>
    </row>
    <row r="524" spans="14:15" ht="12.75">
      <c r="N524" s="22"/>
      <c r="O524" s="22"/>
    </row>
    <row r="525" spans="14:15" ht="12.75">
      <c r="N525" s="22"/>
      <c r="O525" s="22"/>
    </row>
    <row r="526" spans="14:15" ht="12.75">
      <c r="N526" s="22"/>
      <c r="O526" s="22"/>
    </row>
    <row r="527" spans="14:15" ht="12.75">
      <c r="N527" s="22"/>
      <c r="O527" s="22"/>
    </row>
    <row r="528" spans="14:15" ht="12.75">
      <c r="N528" s="22"/>
      <c r="O528" s="22"/>
    </row>
    <row r="529" spans="14:15" ht="12.75">
      <c r="N529" s="22"/>
      <c r="O529" s="22"/>
    </row>
    <row r="530" spans="14:15" ht="12.75">
      <c r="N530" s="22"/>
      <c r="O530" s="22"/>
    </row>
    <row r="531" spans="14:15" ht="12.75">
      <c r="N531" s="22"/>
      <c r="O531" s="22"/>
    </row>
    <row r="532" spans="14:15" ht="12.75">
      <c r="N532" s="22"/>
      <c r="O532" s="22"/>
    </row>
    <row r="533" spans="14:15" ht="12.75">
      <c r="N533" s="22"/>
      <c r="O533" s="22"/>
    </row>
    <row r="534" spans="14:15" ht="12.75">
      <c r="N534" s="22"/>
      <c r="O534" s="22"/>
    </row>
    <row r="535" spans="14:15" ht="12.75">
      <c r="N535" s="22"/>
      <c r="O535" s="22"/>
    </row>
    <row r="536" spans="14:15" ht="12.75">
      <c r="N536" s="22"/>
      <c r="O536" s="22"/>
    </row>
    <row r="537" spans="14:15" ht="12.75">
      <c r="N537" s="22"/>
      <c r="O537" s="22"/>
    </row>
    <row r="538" spans="14:15" ht="12.75">
      <c r="N538" s="22"/>
      <c r="O538" s="22"/>
    </row>
    <row r="539" spans="14:15" ht="12.75">
      <c r="N539" s="22"/>
      <c r="O539" s="22"/>
    </row>
    <row r="540" spans="14:15" ht="12.75">
      <c r="N540" s="22"/>
      <c r="O540" s="22"/>
    </row>
    <row r="541" spans="14:15" ht="12.75">
      <c r="N541" s="22"/>
      <c r="O541" s="22"/>
    </row>
    <row r="542" spans="14:15" ht="12.75">
      <c r="N542" s="22"/>
      <c r="O542" s="22"/>
    </row>
    <row r="543" spans="14:15" ht="12.75">
      <c r="N543" s="22"/>
      <c r="O543" s="22"/>
    </row>
    <row r="544" spans="14:15" ht="12.75">
      <c r="N544" s="22"/>
      <c r="O544" s="22"/>
    </row>
    <row r="545" spans="14:15" ht="12.75">
      <c r="N545" s="22"/>
      <c r="O545" s="22"/>
    </row>
    <row r="546" spans="14:15" ht="12.75">
      <c r="N546" s="22"/>
      <c r="O546" s="22"/>
    </row>
    <row r="547" spans="14:15" ht="12.75">
      <c r="N547" s="22"/>
      <c r="O547" s="22"/>
    </row>
    <row r="548" spans="14:15" ht="12.75">
      <c r="N548" s="22"/>
      <c r="O548" s="22"/>
    </row>
    <row r="549" spans="14:15" ht="12.75">
      <c r="N549" s="22"/>
      <c r="O549" s="22"/>
    </row>
    <row r="550" spans="14:15" ht="12.75">
      <c r="N550" s="22"/>
      <c r="O550" s="22"/>
    </row>
    <row r="551" spans="14:15" ht="12.75">
      <c r="N551" s="22"/>
      <c r="O551" s="22"/>
    </row>
    <row r="552" spans="14:15" ht="12.75">
      <c r="N552" s="22"/>
      <c r="O552" s="22"/>
    </row>
    <row r="553" spans="14:15" ht="12.75">
      <c r="N553" s="22"/>
      <c r="O553" s="22"/>
    </row>
    <row r="554" spans="14:15" ht="12.75">
      <c r="N554" s="22"/>
      <c r="O554" s="22"/>
    </row>
    <row r="555" spans="14:15" ht="12.75">
      <c r="N555" s="22"/>
      <c r="O555" s="22"/>
    </row>
    <row r="556" spans="14:15" ht="12.75">
      <c r="N556" s="22"/>
      <c r="O556" s="22"/>
    </row>
    <row r="557" spans="14:15" ht="12.75">
      <c r="N557" s="22"/>
      <c r="O557" s="22"/>
    </row>
    <row r="558" spans="14:15" ht="12.75">
      <c r="N558" s="22"/>
      <c r="O558" s="22"/>
    </row>
    <row r="559" spans="14:15" ht="12.75">
      <c r="N559" s="22"/>
      <c r="O559" s="22"/>
    </row>
    <row r="560" spans="14:15" ht="12.75">
      <c r="N560" s="22"/>
      <c r="O560" s="22"/>
    </row>
    <row r="561" spans="14:15" ht="12.75">
      <c r="N561" s="22"/>
      <c r="O561" s="22"/>
    </row>
    <row r="562" spans="14:15" ht="12.75">
      <c r="N562" s="22"/>
      <c r="O562" s="22"/>
    </row>
    <row r="563" spans="14:15" ht="12.75">
      <c r="N563" s="22"/>
      <c r="O563" s="22"/>
    </row>
    <row r="564" spans="14:15" ht="12.75">
      <c r="N564" s="22"/>
      <c r="O564" s="22"/>
    </row>
    <row r="565" spans="14:15" ht="12.75">
      <c r="N565" s="22"/>
      <c r="O565" s="22"/>
    </row>
    <row r="566" spans="14:15" ht="12.75">
      <c r="N566" s="22"/>
      <c r="O566" s="22"/>
    </row>
    <row r="567" spans="14:15" ht="12.75">
      <c r="N567" s="22"/>
      <c r="O567" s="22"/>
    </row>
    <row r="568" spans="14:15" ht="12.75">
      <c r="N568" s="22"/>
      <c r="O568" s="22"/>
    </row>
    <row r="569" spans="14:15" ht="12.75">
      <c r="N569" s="22"/>
      <c r="O569" s="22"/>
    </row>
    <row r="570" spans="14:15" ht="12.75">
      <c r="N570" s="22"/>
      <c r="O570" s="22"/>
    </row>
    <row r="571" spans="14:15" ht="12.75">
      <c r="N571" s="22"/>
      <c r="O571" s="22"/>
    </row>
    <row r="572" spans="14:15" ht="12.75">
      <c r="N572" s="22"/>
      <c r="O572" s="22"/>
    </row>
    <row r="573" spans="14:15" ht="12.75">
      <c r="N573" s="22"/>
      <c r="O573" s="22"/>
    </row>
    <row r="574" spans="14:15" ht="12.75">
      <c r="N574" s="22"/>
      <c r="O574" s="22"/>
    </row>
    <row r="575" spans="14:15" ht="12.75">
      <c r="N575" s="22"/>
      <c r="O575" s="22"/>
    </row>
    <row r="576" spans="14:15" ht="12.75">
      <c r="N576" s="22"/>
      <c r="O576" s="22"/>
    </row>
    <row r="577" spans="14:15" ht="12.75">
      <c r="N577" s="22"/>
      <c r="O577" s="22"/>
    </row>
    <row r="578" spans="14:15" ht="12.75">
      <c r="N578" s="22"/>
      <c r="O578" s="22"/>
    </row>
    <row r="579" spans="14:15" ht="12.75">
      <c r="N579" s="22"/>
      <c r="O579" s="22"/>
    </row>
    <row r="580" spans="14:15" ht="12.75">
      <c r="N580" s="22"/>
      <c r="O580" s="22"/>
    </row>
    <row r="581" spans="14:15" ht="12.75">
      <c r="N581" s="22"/>
      <c r="O581" s="22"/>
    </row>
    <row r="582" spans="14:15" ht="12.75">
      <c r="N582" s="22"/>
      <c r="O582" s="22"/>
    </row>
    <row r="583" spans="14:15" ht="12.75">
      <c r="N583" s="22"/>
      <c r="O583" s="22"/>
    </row>
    <row r="584" spans="14:15" ht="12.75">
      <c r="N584" s="22"/>
      <c r="O584" s="22"/>
    </row>
    <row r="585" spans="14:15" ht="12.75">
      <c r="N585" s="22"/>
      <c r="O585" s="22"/>
    </row>
    <row r="586" spans="14:15" ht="12.75">
      <c r="N586" s="22"/>
      <c r="O586" s="22"/>
    </row>
    <row r="587" spans="14:15" ht="12.75">
      <c r="N587" s="22"/>
      <c r="O587" s="22"/>
    </row>
    <row r="588" spans="14:15" ht="12.75">
      <c r="N588" s="22"/>
      <c r="O588" s="22"/>
    </row>
    <row r="589" spans="14:15" ht="12.75">
      <c r="N589" s="22"/>
      <c r="O589" s="22"/>
    </row>
    <row r="590" spans="14:15" ht="12.75">
      <c r="N590" s="22"/>
      <c r="O590" s="22"/>
    </row>
    <row r="591" spans="14:15" ht="12.75">
      <c r="N591" s="22"/>
      <c r="O591" s="22"/>
    </row>
    <row r="592" spans="14:15" ht="12.75">
      <c r="N592" s="22"/>
      <c r="O592" s="22"/>
    </row>
    <row r="593" spans="14:15" ht="12.75">
      <c r="N593" s="22"/>
      <c r="O593" s="22"/>
    </row>
    <row r="594" spans="14:15" ht="12.75">
      <c r="N594" s="22"/>
      <c r="O594" s="22"/>
    </row>
    <row r="595" spans="14:15" ht="12.75">
      <c r="N595" s="22"/>
      <c r="O595" s="22"/>
    </row>
    <row r="596" spans="14:15" ht="12.75">
      <c r="N596" s="22"/>
      <c r="O596" s="22"/>
    </row>
    <row r="597" spans="14:15" ht="12.75">
      <c r="N597" s="22"/>
      <c r="O597" s="22"/>
    </row>
    <row r="598" spans="14:15" ht="12.75">
      <c r="N598" s="22"/>
      <c r="O598" s="22"/>
    </row>
    <row r="599" spans="14:15" ht="12.75">
      <c r="N599" s="22"/>
      <c r="O599" s="22"/>
    </row>
    <row r="600" spans="14:15" ht="12.75">
      <c r="N600" s="22"/>
      <c r="O600" s="22"/>
    </row>
    <row r="601" spans="14:15" ht="12.75">
      <c r="N601" s="22"/>
      <c r="O601" s="22"/>
    </row>
    <row r="602" spans="14:15" ht="12.75">
      <c r="N602" s="22"/>
      <c r="O602" s="22"/>
    </row>
    <row r="603" spans="14:15" ht="12.75">
      <c r="N603" s="22"/>
      <c r="O603" s="22"/>
    </row>
    <row r="604" spans="14:15" ht="12.75">
      <c r="N604" s="22"/>
      <c r="O604" s="22"/>
    </row>
    <row r="605" spans="14:15" ht="12.75">
      <c r="N605" s="22"/>
      <c r="O605" s="22"/>
    </row>
    <row r="606" spans="14:15" ht="12.75">
      <c r="N606" s="22"/>
      <c r="O606" s="22"/>
    </row>
    <row r="607" spans="14:15" ht="12.75">
      <c r="N607" s="22"/>
      <c r="O607" s="22"/>
    </row>
    <row r="608" spans="14:15" ht="12.75">
      <c r="N608" s="22"/>
      <c r="O608" s="22"/>
    </row>
    <row r="609" spans="14:15" ht="12.75">
      <c r="N609" s="22"/>
      <c r="O609" s="22"/>
    </row>
    <row r="610" spans="14:15" ht="12.75">
      <c r="N610" s="22"/>
      <c r="O610" s="22"/>
    </row>
    <row r="611" spans="14:15" ht="12.75">
      <c r="N611" s="22"/>
      <c r="O611" s="22"/>
    </row>
    <row r="612" spans="14:15" ht="12.75">
      <c r="N612" s="22"/>
      <c r="O612" s="22"/>
    </row>
    <row r="613" spans="14:15" ht="12.75">
      <c r="N613" s="22"/>
      <c r="O613" s="22"/>
    </row>
    <row r="614" spans="14:15" ht="12.75">
      <c r="N614" s="22"/>
      <c r="O614" s="22"/>
    </row>
    <row r="615" spans="14:15" ht="12.75">
      <c r="N615" s="22"/>
      <c r="O615" s="22"/>
    </row>
    <row r="616" spans="14:15" ht="12.75">
      <c r="N616" s="22"/>
      <c r="O616" s="22"/>
    </row>
    <row r="617" spans="14:15" ht="12.75">
      <c r="N617" s="22"/>
      <c r="O617" s="22"/>
    </row>
    <row r="618" spans="14:15" ht="12.75">
      <c r="N618" s="22"/>
      <c r="O618" s="22"/>
    </row>
    <row r="619" spans="14:15" ht="12.75">
      <c r="N619" s="22"/>
      <c r="O619" s="22"/>
    </row>
    <row r="620" spans="14:15" ht="12.75">
      <c r="N620" s="22"/>
      <c r="O620" s="22"/>
    </row>
    <row r="621" spans="14:15" ht="12.75">
      <c r="N621" s="22"/>
      <c r="O621" s="22"/>
    </row>
    <row r="622" spans="14:15" ht="12.75">
      <c r="N622" s="22"/>
      <c r="O622" s="22"/>
    </row>
    <row r="623" spans="14:15" ht="12.75">
      <c r="N623" s="22"/>
      <c r="O623" s="22"/>
    </row>
    <row r="624" spans="14:15" ht="12.75">
      <c r="N624" s="22"/>
      <c r="O624" s="22"/>
    </row>
    <row r="625" spans="14:15" ht="12.75">
      <c r="N625" s="22"/>
      <c r="O625" s="22"/>
    </row>
    <row r="626" spans="14:15" ht="12.75">
      <c r="N626" s="22"/>
      <c r="O626" s="22"/>
    </row>
    <row r="627" spans="14:15" ht="12.75">
      <c r="N627" s="22"/>
      <c r="O627" s="22"/>
    </row>
    <row r="628" spans="14:15" ht="12.75">
      <c r="N628" s="22"/>
      <c r="O628" s="22"/>
    </row>
    <row r="629" spans="14:15" ht="12.75">
      <c r="N629" s="22"/>
      <c r="O629" s="22"/>
    </row>
    <row r="630" spans="14:15" ht="12.75">
      <c r="N630" s="22"/>
      <c r="O630" s="22"/>
    </row>
    <row r="631" spans="14:15" ht="12.75">
      <c r="N631" s="22"/>
      <c r="O631" s="22"/>
    </row>
    <row r="632" spans="14:15" ht="12.75">
      <c r="N632" s="22"/>
      <c r="O632" s="22"/>
    </row>
    <row r="633" spans="14:15" ht="12.75">
      <c r="N633" s="22"/>
      <c r="O633" s="22"/>
    </row>
    <row r="634" spans="14:15" ht="12.75">
      <c r="N634" s="22"/>
      <c r="O634" s="22"/>
    </row>
    <row r="635" spans="14:15" ht="12.75">
      <c r="N635" s="22"/>
      <c r="O635" s="22"/>
    </row>
    <row r="636" spans="14:15" ht="12.75">
      <c r="N636" s="22"/>
      <c r="O636" s="22"/>
    </row>
    <row r="637" spans="14:15" ht="12.75">
      <c r="N637" s="22"/>
      <c r="O637" s="22"/>
    </row>
    <row r="638" spans="14:15" ht="12.75">
      <c r="N638" s="22"/>
      <c r="O638" s="22"/>
    </row>
    <row r="639" spans="14:15" ht="12.75">
      <c r="N639" s="22"/>
      <c r="O639" s="22"/>
    </row>
    <row r="640" spans="14:15" ht="12.75">
      <c r="N640" s="22"/>
      <c r="O640" s="22"/>
    </row>
    <row r="641" spans="14:15" ht="12.75">
      <c r="N641" s="22"/>
      <c r="O641" s="22"/>
    </row>
    <row r="642" spans="14:15" ht="12.75">
      <c r="N642" s="22"/>
      <c r="O642" s="22"/>
    </row>
    <row r="643" spans="14:15" ht="12.75">
      <c r="N643" s="22"/>
      <c r="O643" s="22"/>
    </row>
    <row r="644" spans="14:15" ht="12.75">
      <c r="N644" s="22"/>
      <c r="O644" s="22"/>
    </row>
    <row r="645" spans="14:15" ht="12.75">
      <c r="N645" s="22"/>
      <c r="O645" s="22"/>
    </row>
    <row r="646" spans="14:15" ht="12.75">
      <c r="N646" s="22"/>
      <c r="O646" s="22"/>
    </row>
    <row r="647" spans="14:15" ht="12.75">
      <c r="N647" s="22"/>
      <c r="O647" s="22"/>
    </row>
    <row r="648" spans="14:15" ht="12.75">
      <c r="N648" s="22"/>
      <c r="O648" s="22"/>
    </row>
    <row r="649" spans="14:15" ht="12.75">
      <c r="N649" s="22"/>
      <c r="O649" s="22"/>
    </row>
    <row r="650" spans="14:15" ht="12.75">
      <c r="N650" s="22"/>
      <c r="O650" s="22"/>
    </row>
    <row r="651" spans="14:15" ht="12.75">
      <c r="N651" s="22"/>
      <c r="O651" s="22"/>
    </row>
    <row r="652" spans="14:15" ht="12.75">
      <c r="N652" s="22"/>
      <c r="O652" s="22"/>
    </row>
    <row r="653" spans="14:15" ht="12.75">
      <c r="N653" s="22"/>
      <c r="O653" s="22"/>
    </row>
    <row r="654" spans="14:15" ht="12.75">
      <c r="N654" s="22"/>
      <c r="O654" s="22"/>
    </row>
    <row r="655" spans="14:15" ht="12.75">
      <c r="N655" s="22"/>
      <c r="O655" s="22"/>
    </row>
    <row r="656" spans="14:15" ht="12.75">
      <c r="N656" s="22"/>
      <c r="O656" s="22"/>
    </row>
    <row r="657" spans="14:15" ht="12.75">
      <c r="N657" s="22"/>
      <c r="O657" s="22"/>
    </row>
    <row r="658" spans="14:15" ht="12.75">
      <c r="N658" s="22"/>
      <c r="O658" s="22"/>
    </row>
    <row r="659" spans="14:15" ht="12.75">
      <c r="N659" s="22"/>
      <c r="O659" s="22"/>
    </row>
    <row r="660" spans="14:15" ht="12.75">
      <c r="N660" s="22"/>
      <c r="O660" s="22"/>
    </row>
    <row r="661" spans="14:15" ht="12.75">
      <c r="N661" s="22"/>
      <c r="O661" s="22"/>
    </row>
    <row r="662" spans="14:15" ht="12.75">
      <c r="N662" s="22"/>
      <c r="O662" s="22"/>
    </row>
    <row r="663" spans="14:15" ht="12.75">
      <c r="N663" s="22"/>
      <c r="O663" s="22"/>
    </row>
    <row r="664" spans="14:15" ht="12.75">
      <c r="N664" s="22"/>
      <c r="O664" s="22"/>
    </row>
    <row r="665" spans="14:15" ht="12.75">
      <c r="N665" s="22"/>
      <c r="O665" s="22"/>
    </row>
    <row r="666" spans="14:15" ht="12.75">
      <c r="N666" s="22"/>
      <c r="O666" s="22"/>
    </row>
    <row r="667" spans="14:15" ht="12.75">
      <c r="N667" s="22"/>
      <c r="O667" s="22"/>
    </row>
    <row r="668" spans="14:15" ht="12.75">
      <c r="N668" s="22"/>
      <c r="O668" s="22"/>
    </row>
    <row r="669" spans="14:15" ht="12.75">
      <c r="N669" s="22"/>
      <c r="O669" s="22"/>
    </row>
    <row r="670" spans="14:15" ht="12.75">
      <c r="N670" s="22"/>
      <c r="O670" s="22"/>
    </row>
    <row r="671" spans="14:15" ht="12.75">
      <c r="N671" s="22"/>
      <c r="O671" s="22"/>
    </row>
    <row r="672" spans="14:15" ht="12.75">
      <c r="N672" s="22"/>
      <c r="O672" s="22"/>
    </row>
    <row r="673" spans="14:15" ht="12.75">
      <c r="N673" s="22"/>
      <c r="O673" s="22"/>
    </row>
    <row r="674" spans="14:15" ht="12.75">
      <c r="N674" s="22"/>
      <c r="O674" s="22"/>
    </row>
    <row r="675" spans="14:15" ht="12.75">
      <c r="N675" s="22"/>
      <c r="O675" s="22"/>
    </row>
    <row r="676" spans="14:15" ht="12.75">
      <c r="N676" s="22"/>
      <c r="O676" s="22"/>
    </row>
    <row r="677" spans="14:15" ht="12.75">
      <c r="N677" s="22"/>
      <c r="O677" s="22"/>
    </row>
    <row r="678" spans="14:15" ht="12.75">
      <c r="N678" s="22"/>
      <c r="O678" s="22"/>
    </row>
    <row r="679" spans="14:15" ht="12.75">
      <c r="N679" s="22"/>
      <c r="O679" s="22"/>
    </row>
    <row r="680" spans="14:15" ht="12.75">
      <c r="N680" s="22"/>
      <c r="O680" s="22"/>
    </row>
    <row r="681" spans="14:15" ht="12.75">
      <c r="N681" s="22"/>
      <c r="O681" s="22"/>
    </row>
    <row r="682" spans="14:15" ht="12.75">
      <c r="N682" s="22"/>
      <c r="O682" s="22"/>
    </row>
    <row r="683" spans="14:15" ht="12.75">
      <c r="N683" s="22"/>
      <c r="O683" s="22"/>
    </row>
    <row r="684" spans="14:15" ht="12.75">
      <c r="N684" s="22"/>
      <c r="O684" s="22"/>
    </row>
    <row r="685" spans="14:15" ht="12.75">
      <c r="N685" s="22"/>
      <c r="O685" s="22"/>
    </row>
    <row r="686" spans="14:15" ht="12.75">
      <c r="N686" s="22"/>
      <c r="O686" s="22"/>
    </row>
    <row r="687" spans="14:15" ht="12.75">
      <c r="N687" s="22"/>
      <c r="O687" s="22"/>
    </row>
    <row r="688" spans="14:15" ht="12.75">
      <c r="N688" s="22"/>
      <c r="O688" s="22"/>
    </row>
    <row r="689" spans="14:15" ht="12.75">
      <c r="N689" s="22"/>
      <c r="O689" s="22"/>
    </row>
    <row r="690" spans="14:15" ht="12.75">
      <c r="N690" s="22"/>
      <c r="O690" s="22"/>
    </row>
    <row r="691" spans="14:15" ht="12.75">
      <c r="N691" s="22"/>
      <c r="O691" s="22"/>
    </row>
    <row r="692" spans="14:15" ht="12.75">
      <c r="N692" s="22"/>
      <c r="O692" s="22"/>
    </row>
    <row r="693" spans="14:15" ht="12.75">
      <c r="N693" s="22"/>
      <c r="O693" s="22"/>
    </row>
    <row r="694" spans="14:15" ht="12.75">
      <c r="N694" s="22"/>
      <c r="O694" s="22"/>
    </row>
    <row r="695" spans="14:15" ht="12.75">
      <c r="N695" s="22"/>
      <c r="O695" s="22"/>
    </row>
    <row r="696" spans="14:15" ht="12.75">
      <c r="N696" s="22"/>
      <c r="O696" s="22"/>
    </row>
    <row r="697" spans="14:15" ht="12.75">
      <c r="N697" s="22"/>
      <c r="O697" s="22"/>
    </row>
    <row r="698" spans="14:15" ht="12.75">
      <c r="N698" s="22"/>
      <c r="O698" s="22"/>
    </row>
    <row r="699" spans="14:15" ht="12.75">
      <c r="N699" s="22"/>
      <c r="O699" s="22"/>
    </row>
    <row r="700" spans="14:15" ht="12.75">
      <c r="N700" s="22"/>
      <c r="O700" s="22"/>
    </row>
    <row r="701" spans="14:15" ht="12.75">
      <c r="N701" s="22"/>
      <c r="O701" s="22"/>
    </row>
    <row r="702" spans="14:15" ht="12.75">
      <c r="N702" s="22"/>
      <c r="O702" s="22"/>
    </row>
    <row r="703" spans="14:15" ht="12.75">
      <c r="N703" s="22"/>
      <c r="O703" s="22"/>
    </row>
    <row r="704" spans="14:15" ht="12.75">
      <c r="N704" s="22"/>
      <c r="O704" s="22"/>
    </row>
    <row r="705" spans="14:15" ht="12.75">
      <c r="N705" s="22"/>
      <c r="O705" s="22"/>
    </row>
    <row r="706" spans="14:15" ht="12.75">
      <c r="N706" s="22"/>
      <c r="O706" s="22"/>
    </row>
    <row r="707" spans="14:15" ht="12.75">
      <c r="N707" s="22"/>
      <c r="O707" s="22"/>
    </row>
    <row r="708" spans="14:15" ht="12.75">
      <c r="N708" s="22"/>
      <c r="O708" s="22"/>
    </row>
    <row r="709" spans="14:15" ht="12.75">
      <c r="N709" s="22"/>
      <c r="O709" s="22"/>
    </row>
    <row r="710" spans="14:15" ht="12.75">
      <c r="N710" s="22"/>
      <c r="O710" s="22"/>
    </row>
    <row r="711" spans="14:15" ht="12.75">
      <c r="N711" s="22"/>
      <c r="O711" s="22"/>
    </row>
    <row r="712" spans="14:15" ht="12.75">
      <c r="N712" s="22"/>
      <c r="O712" s="22"/>
    </row>
    <row r="713" spans="14:15" ht="12.75">
      <c r="N713" s="22"/>
      <c r="O713" s="22"/>
    </row>
    <row r="714" spans="14:15" ht="12.75">
      <c r="N714" s="22"/>
      <c r="O714" s="22"/>
    </row>
    <row r="715" spans="14:15" ht="12.75">
      <c r="N715" s="22"/>
      <c r="O715" s="22"/>
    </row>
    <row r="716" spans="14:15" ht="12.75">
      <c r="N716" s="22"/>
      <c r="O716" s="22"/>
    </row>
    <row r="717" spans="14:15" ht="12.75">
      <c r="N717" s="22"/>
      <c r="O717" s="22"/>
    </row>
    <row r="718" spans="14:15" ht="12.75">
      <c r="N718" s="22"/>
      <c r="O718" s="22"/>
    </row>
    <row r="719" spans="14:15" ht="12.75">
      <c r="N719" s="22"/>
      <c r="O719" s="22"/>
    </row>
    <row r="720" spans="14:15" ht="12.75">
      <c r="N720" s="22"/>
      <c r="O720" s="22"/>
    </row>
    <row r="721" spans="14:15" ht="12.75">
      <c r="N721" s="22"/>
      <c r="O721" s="22"/>
    </row>
    <row r="722" spans="14:15" ht="12.75">
      <c r="N722" s="22"/>
      <c r="O722" s="22"/>
    </row>
    <row r="723" spans="14:15" ht="12.75">
      <c r="N723" s="22"/>
      <c r="O723" s="22"/>
    </row>
    <row r="724" spans="14:15" ht="12.75">
      <c r="N724" s="22"/>
      <c r="O724" s="22"/>
    </row>
    <row r="725" spans="14:15" ht="12.75">
      <c r="N725" s="22"/>
      <c r="O725" s="22"/>
    </row>
    <row r="726" spans="14:15" ht="12.75">
      <c r="N726" s="22"/>
      <c r="O726" s="22"/>
    </row>
    <row r="727" spans="14:15" ht="12.75">
      <c r="N727" s="22"/>
      <c r="O727" s="22"/>
    </row>
    <row r="728" spans="14:15" ht="12.75">
      <c r="N728" s="22"/>
      <c r="O728" s="22"/>
    </row>
    <row r="729" spans="14:15" ht="12.75">
      <c r="N729" s="22"/>
      <c r="O729" s="22"/>
    </row>
    <row r="730" spans="14:15" ht="12.75">
      <c r="N730" s="22"/>
      <c r="O730" s="22"/>
    </row>
    <row r="731" spans="14:15" ht="12.75">
      <c r="N731" s="22"/>
      <c r="O731" s="22"/>
    </row>
    <row r="732" spans="14:15" ht="12.75">
      <c r="N732" s="22"/>
      <c r="O732" s="22"/>
    </row>
    <row r="733" spans="14:15" ht="12.75">
      <c r="N733" s="22"/>
      <c r="O733" s="22"/>
    </row>
    <row r="734" spans="14:15" ht="12.75">
      <c r="N734" s="22"/>
      <c r="O734" s="22"/>
    </row>
    <row r="735" spans="14:15" ht="12.75">
      <c r="N735" s="22"/>
      <c r="O735" s="22"/>
    </row>
    <row r="736" spans="14:15" ht="12.75">
      <c r="N736" s="22"/>
      <c r="O736" s="22"/>
    </row>
    <row r="737" spans="14:15" ht="12.75">
      <c r="N737" s="22"/>
      <c r="O737" s="22"/>
    </row>
    <row r="738" spans="14:15" ht="12.75">
      <c r="N738" s="22"/>
      <c r="O738" s="22"/>
    </row>
    <row r="739" spans="14:15" ht="12.75">
      <c r="N739" s="22"/>
      <c r="O739" s="22"/>
    </row>
    <row r="740" spans="14:15" ht="12.75">
      <c r="N740" s="22"/>
      <c r="O740" s="22"/>
    </row>
    <row r="741" spans="14:15" ht="12.75">
      <c r="N741" s="22"/>
      <c r="O741" s="22"/>
    </row>
    <row r="742" spans="14:15" ht="12.75">
      <c r="N742" s="22"/>
      <c r="O742" s="22"/>
    </row>
    <row r="743" spans="14:15" ht="12.75">
      <c r="N743" s="22"/>
      <c r="O743" s="22"/>
    </row>
    <row r="744" spans="14:15" ht="12.75">
      <c r="N744" s="22"/>
      <c r="O744" s="22"/>
    </row>
    <row r="745" spans="14:15" ht="12.75">
      <c r="N745" s="22"/>
      <c r="O745" s="22"/>
    </row>
    <row r="746" spans="14:15" ht="12.75">
      <c r="N746" s="22"/>
      <c r="O746" s="22"/>
    </row>
    <row r="747" spans="14:15" ht="12.75">
      <c r="N747" s="22"/>
      <c r="O747" s="22"/>
    </row>
    <row r="748" spans="14:15" ht="12.75">
      <c r="N748" s="22"/>
      <c r="O748" s="22"/>
    </row>
    <row r="749" spans="14:15" ht="12.75">
      <c r="N749" s="22"/>
      <c r="O749" s="22"/>
    </row>
    <row r="750" spans="14:15" ht="12.75">
      <c r="N750" s="22"/>
      <c r="O750" s="22"/>
    </row>
    <row r="751" spans="14:15" ht="12.75">
      <c r="N751" s="22"/>
      <c r="O751" s="22"/>
    </row>
    <row r="752" spans="14:15" ht="12.75">
      <c r="N752" s="22"/>
      <c r="O752" s="22"/>
    </row>
    <row r="753" spans="14:15" ht="12.75">
      <c r="N753" s="22"/>
      <c r="O753" s="22"/>
    </row>
    <row r="754" spans="14:15" ht="12.75">
      <c r="N754" s="22"/>
      <c r="O754" s="22"/>
    </row>
    <row r="755" spans="14:15" ht="12.75">
      <c r="N755" s="22"/>
      <c r="O755" s="22"/>
    </row>
    <row r="756" spans="14:15" ht="12.75">
      <c r="N756" s="22"/>
      <c r="O756" s="22"/>
    </row>
    <row r="757" spans="14:15" ht="12.75">
      <c r="N757" s="22"/>
      <c r="O757" s="22"/>
    </row>
    <row r="758" spans="14:15" ht="12.75">
      <c r="N758" s="22"/>
      <c r="O758" s="22"/>
    </row>
    <row r="759" spans="14:15" ht="12.75">
      <c r="N759" s="22"/>
      <c r="O759" s="22"/>
    </row>
    <row r="760" spans="14:15" ht="12.75">
      <c r="N760" s="22"/>
      <c r="O760" s="22"/>
    </row>
    <row r="761" spans="14:15" ht="12.75">
      <c r="N761" s="22"/>
      <c r="O761" s="22"/>
    </row>
    <row r="762" spans="14:15" ht="12.75">
      <c r="N762" s="22"/>
      <c r="O762" s="22"/>
    </row>
    <row r="763" spans="14:15" ht="12.75">
      <c r="N763" s="22"/>
      <c r="O763" s="22"/>
    </row>
    <row r="764" spans="14:15" ht="12.75">
      <c r="N764" s="22"/>
      <c r="O764" s="22"/>
    </row>
    <row r="765" spans="14:15" ht="12.75">
      <c r="N765" s="22"/>
      <c r="O765" s="22"/>
    </row>
    <row r="766" spans="14:15" ht="12.75">
      <c r="N766" s="22"/>
      <c r="O766" s="22"/>
    </row>
    <row r="767" spans="14:15" ht="12.75">
      <c r="N767" s="22"/>
      <c r="O767" s="22"/>
    </row>
    <row r="768" spans="14:15" ht="12.75">
      <c r="N768" s="22"/>
      <c r="O768" s="22"/>
    </row>
    <row r="769" spans="14:15" ht="12.75">
      <c r="N769" s="22"/>
      <c r="O769" s="22"/>
    </row>
    <row r="770" spans="14:15" ht="12.75">
      <c r="N770" s="22"/>
      <c r="O770" s="22"/>
    </row>
    <row r="771" spans="14:15" ht="12.75">
      <c r="N771" s="22"/>
      <c r="O771" s="22"/>
    </row>
    <row r="772" spans="14:15" ht="12.75">
      <c r="N772" s="22"/>
      <c r="O772" s="22"/>
    </row>
    <row r="773" spans="14:15" ht="12.75">
      <c r="N773" s="22"/>
      <c r="O773" s="22"/>
    </row>
    <row r="774" spans="14:15" ht="12.75">
      <c r="N774" s="22"/>
      <c r="O774" s="22"/>
    </row>
    <row r="775" spans="14:15" ht="12.75">
      <c r="N775" s="22"/>
      <c r="O775" s="22"/>
    </row>
    <row r="776" spans="14:15" ht="12.75">
      <c r="N776" s="22"/>
      <c r="O776" s="22"/>
    </row>
    <row r="777" spans="14:15" ht="12.75">
      <c r="N777" s="22"/>
      <c r="O777" s="22"/>
    </row>
    <row r="778" spans="14:15" ht="12.75">
      <c r="N778" s="22"/>
      <c r="O778" s="22"/>
    </row>
    <row r="779" spans="14:15" ht="12.75">
      <c r="N779" s="22"/>
      <c r="O779" s="22"/>
    </row>
    <row r="780" spans="14:15" ht="12.75">
      <c r="N780" s="22"/>
      <c r="O780" s="22"/>
    </row>
    <row r="781" spans="14:15" ht="12.75">
      <c r="N781" s="22"/>
      <c r="O781" s="22"/>
    </row>
    <row r="782" spans="14:15" ht="12.75">
      <c r="N782" s="22"/>
      <c r="O782" s="22"/>
    </row>
    <row r="783" spans="14:15" ht="12.75">
      <c r="N783" s="22"/>
      <c r="O783" s="22"/>
    </row>
    <row r="784" spans="14:15" ht="12.75">
      <c r="N784" s="22"/>
      <c r="O784" s="22"/>
    </row>
    <row r="785" spans="14:15" ht="12.75">
      <c r="N785" s="22"/>
      <c r="O785" s="22"/>
    </row>
    <row r="786" spans="14:15" ht="12.75">
      <c r="N786" s="22"/>
      <c r="O786" s="22"/>
    </row>
    <row r="787" spans="14:15" ht="12.75">
      <c r="N787" s="22"/>
      <c r="O787" s="22"/>
    </row>
    <row r="788" spans="14:15" ht="12.75">
      <c r="N788" s="22"/>
      <c r="O788" s="22"/>
    </row>
    <row r="789" spans="14:15" ht="12.75">
      <c r="N789" s="22"/>
      <c r="O789" s="22"/>
    </row>
    <row r="790" spans="14:15" ht="12.75">
      <c r="N790" s="22"/>
      <c r="O790" s="22"/>
    </row>
    <row r="791" spans="14:15" ht="12.75">
      <c r="N791" s="22"/>
      <c r="O791" s="22"/>
    </row>
    <row r="792" spans="14:15" ht="12.75">
      <c r="N792" s="22"/>
      <c r="O792" s="22"/>
    </row>
    <row r="793" spans="14:15" ht="12.75">
      <c r="N793" s="22"/>
      <c r="O793" s="22"/>
    </row>
    <row r="794" spans="14:15" ht="12.75">
      <c r="N794" s="22"/>
      <c r="O794" s="22"/>
    </row>
    <row r="795" spans="14:15" ht="12.75">
      <c r="N795" s="22"/>
      <c r="O795" s="22"/>
    </row>
    <row r="796" spans="14:15" ht="12.75">
      <c r="N796" s="22"/>
      <c r="O796" s="22"/>
    </row>
    <row r="797" spans="14:15" ht="12.75">
      <c r="N797" s="22"/>
      <c r="O797" s="22"/>
    </row>
    <row r="798" spans="14:15" ht="12.75">
      <c r="N798" s="22"/>
      <c r="O798" s="22"/>
    </row>
    <row r="799" spans="14:15" ht="12.75">
      <c r="N799" s="22"/>
      <c r="O799" s="22"/>
    </row>
    <row r="800" spans="14:15" ht="12.75">
      <c r="N800" s="22"/>
      <c r="O800" s="22"/>
    </row>
    <row r="801" spans="14:15" ht="12.75">
      <c r="N801" s="22"/>
      <c r="O801" s="22"/>
    </row>
    <row r="802" spans="14:15" ht="12.75">
      <c r="N802" s="22"/>
      <c r="O802" s="22"/>
    </row>
    <row r="803" spans="14:15" ht="12.75">
      <c r="N803" s="22"/>
      <c r="O803" s="22"/>
    </row>
    <row r="804" spans="14:15" ht="12.75">
      <c r="N804" s="22"/>
      <c r="O804" s="22"/>
    </row>
    <row r="805" spans="14:15" ht="12.75">
      <c r="N805" s="22"/>
      <c r="O805" s="22"/>
    </row>
    <row r="806" spans="14:15" ht="12.75">
      <c r="N806" s="22"/>
      <c r="O806" s="22"/>
    </row>
    <row r="807" spans="14:15" ht="12.75">
      <c r="N807" s="22"/>
      <c r="O807" s="22"/>
    </row>
    <row r="808" spans="14:15" ht="12.75">
      <c r="N808" s="22"/>
      <c r="O808" s="22"/>
    </row>
    <row r="809" spans="14:15" ht="12.75">
      <c r="N809" s="22"/>
      <c r="O809" s="22"/>
    </row>
    <row r="810" spans="14:15" ht="12.75">
      <c r="N810" s="22"/>
      <c r="O810" s="22"/>
    </row>
    <row r="811" spans="14:15" ht="12.75">
      <c r="N811" s="22"/>
      <c r="O811" s="22"/>
    </row>
    <row r="812" spans="14:15" ht="12.75">
      <c r="N812" s="22"/>
      <c r="O812" s="22"/>
    </row>
    <row r="813" spans="14:15" ht="12.75">
      <c r="N813" s="22"/>
      <c r="O813" s="22"/>
    </row>
    <row r="814" spans="14:15" ht="12.75">
      <c r="N814" s="22"/>
      <c r="O814" s="22"/>
    </row>
    <row r="815" spans="14:15" ht="12.75">
      <c r="N815" s="22"/>
      <c r="O815" s="22"/>
    </row>
    <row r="816" spans="14:15" ht="12.75">
      <c r="N816" s="22"/>
      <c r="O816" s="22"/>
    </row>
    <row r="817" spans="14:15" ht="12.75">
      <c r="N817" s="22"/>
      <c r="O817" s="22"/>
    </row>
    <row r="818" spans="14:15" ht="12.75">
      <c r="N818" s="22"/>
      <c r="O818" s="22"/>
    </row>
    <row r="819" spans="14:15" ht="12.75">
      <c r="N819" s="22"/>
      <c r="O819" s="22"/>
    </row>
    <row r="820" spans="14:15" ht="12.75">
      <c r="N820" s="22"/>
      <c r="O820" s="22"/>
    </row>
    <row r="821" spans="14:15" ht="12.75">
      <c r="N821" s="22"/>
      <c r="O821" s="22"/>
    </row>
    <row r="822" spans="14:15" ht="12.75">
      <c r="N822" s="22"/>
      <c r="O822" s="22"/>
    </row>
    <row r="823" spans="14:15" ht="12.75">
      <c r="N823" s="22"/>
      <c r="O823" s="22"/>
    </row>
    <row r="824" spans="14:15" ht="12.75">
      <c r="N824" s="22"/>
      <c r="O824" s="22"/>
    </row>
    <row r="825" spans="14:15" ht="12.75">
      <c r="N825" s="22"/>
      <c r="O825" s="22"/>
    </row>
    <row r="826" spans="14:15" ht="12.75">
      <c r="N826" s="22"/>
      <c r="O826" s="22"/>
    </row>
    <row r="827" spans="14:15" ht="12.75">
      <c r="N827" s="22"/>
      <c r="O827" s="22"/>
    </row>
    <row r="828" spans="14:15" ht="12.75">
      <c r="N828" s="22"/>
      <c r="O828" s="22"/>
    </row>
    <row r="829" spans="14:15" ht="12.75">
      <c r="N829" s="22"/>
      <c r="O829" s="22"/>
    </row>
    <row r="830" spans="14:15" ht="12.75">
      <c r="N830" s="22"/>
      <c r="O830" s="22"/>
    </row>
    <row r="831" spans="14:15" ht="12.75">
      <c r="N831" s="22"/>
      <c r="O831" s="22"/>
    </row>
    <row r="832" spans="14:15" ht="12.75">
      <c r="N832" s="22"/>
      <c r="O832" s="22"/>
    </row>
    <row r="833" spans="14:15" ht="12.75">
      <c r="N833" s="22"/>
      <c r="O833" s="22"/>
    </row>
    <row r="834" spans="14:15" ht="12.75">
      <c r="N834" s="22"/>
      <c r="O834" s="22"/>
    </row>
    <row r="835" spans="14:15" ht="12.75">
      <c r="N835" s="22"/>
      <c r="O835" s="22"/>
    </row>
    <row r="836" spans="14:15" ht="12.75">
      <c r="N836" s="22"/>
      <c r="O836" s="22"/>
    </row>
    <row r="837" spans="14:15" ht="12.75">
      <c r="N837" s="22"/>
      <c r="O837" s="22"/>
    </row>
    <row r="838" spans="14:15" ht="12.75">
      <c r="N838" s="22"/>
      <c r="O838" s="22"/>
    </row>
    <row r="839" spans="14:15" ht="12.75">
      <c r="N839" s="22"/>
      <c r="O839" s="22"/>
    </row>
    <row r="840" spans="14:15" ht="12.75">
      <c r="N840" s="22"/>
      <c r="O840" s="22"/>
    </row>
    <row r="841" spans="14:15" ht="12.75">
      <c r="N841" s="22"/>
      <c r="O841" s="22"/>
    </row>
    <row r="842" spans="14:15" ht="12.75">
      <c r="N842" s="22"/>
      <c r="O842" s="22"/>
    </row>
    <row r="843" spans="14:15" ht="12.75">
      <c r="N843" s="22"/>
      <c r="O843" s="22"/>
    </row>
    <row r="844" spans="14:15" ht="12.75">
      <c r="N844" s="22"/>
      <c r="O844" s="22"/>
    </row>
    <row r="845" spans="14:15" ht="12.75">
      <c r="N845" s="22"/>
      <c r="O845" s="22"/>
    </row>
    <row r="846" spans="14:15" ht="12.75">
      <c r="N846" s="22"/>
      <c r="O846" s="22"/>
    </row>
    <row r="847" spans="14:15" ht="12.75">
      <c r="N847" s="22"/>
      <c r="O847" s="22"/>
    </row>
    <row r="848" spans="14:15" ht="12.75">
      <c r="N848" s="22"/>
      <c r="O848" s="22"/>
    </row>
    <row r="849" spans="14:15" ht="12.75">
      <c r="N849" s="22"/>
      <c r="O849" s="22"/>
    </row>
    <row r="850" spans="14:15" ht="12.75">
      <c r="N850" s="22"/>
      <c r="O850" s="22"/>
    </row>
    <row r="851" spans="14:15" ht="12.75">
      <c r="N851" s="22"/>
      <c r="O851" s="22"/>
    </row>
    <row r="852" spans="14:15" ht="12.75">
      <c r="N852" s="22"/>
      <c r="O852" s="22"/>
    </row>
    <row r="853" spans="14:15" ht="12.75">
      <c r="N853" s="22"/>
      <c r="O853" s="22"/>
    </row>
    <row r="854" spans="14:15" ht="12.75">
      <c r="N854" s="22"/>
      <c r="O854" s="22"/>
    </row>
    <row r="855" spans="14:15" ht="12.75">
      <c r="N855" s="22"/>
      <c r="O855" s="22"/>
    </row>
    <row r="856" spans="14:15" ht="12.75">
      <c r="N856" s="22"/>
      <c r="O856" s="22"/>
    </row>
    <row r="857" spans="14:15" ht="12.75">
      <c r="N857" s="22"/>
      <c r="O857" s="22"/>
    </row>
    <row r="858" spans="14:15" ht="12.75">
      <c r="N858" s="22"/>
      <c r="O858" s="22"/>
    </row>
    <row r="859" spans="14:15" ht="12.75">
      <c r="N859" s="22"/>
      <c r="O859" s="22"/>
    </row>
    <row r="860" spans="14:15" ht="12.75">
      <c r="N860" s="22"/>
      <c r="O860" s="22"/>
    </row>
    <row r="861" spans="14:15" ht="12.75">
      <c r="N861" s="22"/>
      <c r="O861" s="22"/>
    </row>
    <row r="862" spans="14:15" ht="12.75">
      <c r="N862" s="22"/>
      <c r="O862" s="22"/>
    </row>
    <row r="863" spans="14:15" ht="12.75">
      <c r="N863" s="22"/>
      <c r="O863" s="22"/>
    </row>
    <row r="864" spans="14:15" ht="12.75">
      <c r="N864" s="22"/>
      <c r="O864" s="22"/>
    </row>
    <row r="865" spans="14:15" ht="12.75">
      <c r="N865" s="22"/>
      <c r="O865" s="22"/>
    </row>
    <row r="866" spans="14:15" ht="12.75">
      <c r="N866" s="22"/>
      <c r="O866" s="22"/>
    </row>
    <row r="867" spans="14:15" ht="12.75">
      <c r="N867" s="22"/>
      <c r="O867" s="22"/>
    </row>
    <row r="868" spans="14:15" ht="12.75">
      <c r="N868" s="22"/>
      <c r="O868" s="22"/>
    </row>
    <row r="869" spans="14:15" ht="12.75">
      <c r="N869" s="22"/>
      <c r="O869" s="22"/>
    </row>
    <row r="870" spans="14:15" ht="12.75">
      <c r="N870" s="22"/>
      <c r="O870" s="22"/>
    </row>
    <row r="871" spans="14:15" ht="12.75">
      <c r="N871" s="22"/>
      <c r="O871" s="22"/>
    </row>
    <row r="872" spans="14:15" ht="12.75">
      <c r="N872" s="22"/>
      <c r="O872" s="22"/>
    </row>
    <row r="873" spans="14:15" ht="12.75">
      <c r="N873" s="22"/>
      <c r="O873" s="22"/>
    </row>
    <row r="874" spans="14:15" ht="12.75">
      <c r="N874" s="22"/>
      <c r="O874" s="22"/>
    </row>
    <row r="875" spans="14:15" ht="12.75">
      <c r="N875" s="22"/>
      <c r="O875" s="22"/>
    </row>
    <row r="876" spans="14:15" ht="12.75">
      <c r="N876" s="22"/>
      <c r="O876" s="22"/>
    </row>
    <row r="877" spans="14:15" ht="12.75">
      <c r="N877" s="22"/>
      <c r="O877" s="22"/>
    </row>
    <row r="878" spans="14:15" ht="12.75">
      <c r="N878" s="22"/>
      <c r="O878" s="22"/>
    </row>
    <row r="879" spans="14:15" ht="12.75">
      <c r="N879" s="22"/>
      <c r="O879" s="22"/>
    </row>
    <row r="880" spans="14:15" ht="12.75">
      <c r="N880" s="22"/>
      <c r="O880" s="22"/>
    </row>
    <row r="881" spans="14:15" ht="12.75">
      <c r="N881" s="22"/>
      <c r="O881" s="22"/>
    </row>
    <row r="882" spans="14:15" ht="12.75">
      <c r="N882" s="22"/>
      <c r="O882" s="22"/>
    </row>
    <row r="883" spans="14:15" ht="12.75">
      <c r="N883" s="22"/>
      <c r="O883" s="22"/>
    </row>
    <row r="884" spans="14:15" ht="12.75">
      <c r="N884" s="22"/>
      <c r="O884" s="22"/>
    </row>
    <row r="885" spans="14:15" ht="12.75">
      <c r="N885" s="22"/>
      <c r="O885" s="22"/>
    </row>
    <row r="886" spans="14:15" ht="12.75">
      <c r="N886" s="22"/>
      <c r="O886" s="22"/>
    </row>
    <row r="887" spans="14:15" ht="12.75">
      <c r="N887" s="22"/>
      <c r="O887" s="22"/>
    </row>
    <row r="888" spans="14:15" ht="12.75">
      <c r="N888" s="22"/>
      <c r="O888" s="22"/>
    </row>
    <row r="889" spans="14:15" ht="12.75">
      <c r="N889" s="22"/>
      <c r="O889" s="22"/>
    </row>
    <row r="890" spans="14:15" ht="12.75">
      <c r="N890" s="22"/>
      <c r="O890" s="22"/>
    </row>
    <row r="891" spans="14:15" ht="12.75">
      <c r="N891" s="22"/>
      <c r="O891" s="22"/>
    </row>
    <row r="892" spans="14:15" ht="12.75">
      <c r="N892" s="22"/>
      <c r="O892" s="22"/>
    </row>
    <row r="893" spans="14:15" ht="12.75">
      <c r="N893" s="22"/>
      <c r="O893" s="22"/>
    </row>
    <row r="894" spans="14:15" ht="12.75">
      <c r="N894" s="22"/>
      <c r="O894" s="22"/>
    </row>
    <row r="895" spans="14:15" ht="12.75">
      <c r="N895" s="22"/>
      <c r="O895" s="22"/>
    </row>
    <row r="896" spans="14:15" ht="12.75">
      <c r="N896" s="22"/>
      <c r="O896" s="22"/>
    </row>
    <row r="897" spans="14:15" ht="12.75">
      <c r="N897" s="22"/>
      <c r="O897" s="22"/>
    </row>
    <row r="898" spans="14:15" ht="12.75">
      <c r="N898" s="22"/>
      <c r="O898" s="22"/>
    </row>
    <row r="899" spans="14:15" ht="12.75">
      <c r="N899" s="22"/>
      <c r="O899" s="22"/>
    </row>
    <row r="900" spans="14:15" ht="12.75">
      <c r="N900" s="22"/>
      <c r="O900" s="22"/>
    </row>
    <row r="901" spans="14:15" ht="12.75">
      <c r="N901" s="22"/>
      <c r="O901" s="22"/>
    </row>
    <row r="902" spans="14:15" ht="12.75">
      <c r="N902" s="22"/>
      <c r="O902" s="22"/>
    </row>
    <row r="903" spans="14:15" ht="12.75">
      <c r="N903" s="22"/>
      <c r="O903" s="22"/>
    </row>
    <row r="904" spans="14:15" ht="12.75">
      <c r="N904" s="22"/>
      <c r="O904" s="22"/>
    </row>
    <row r="905" spans="14:15" ht="12.75">
      <c r="N905" s="22"/>
      <c r="O905" s="22"/>
    </row>
    <row r="906" spans="14:15" ht="12.75">
      <c r="N906" s="22"/>
      <c r="O906" s="22"/>
    </row>
    <row r="907" spans="14:15" ht="12.75">
      <c r="N907" s="22"/>
      <c r="O907" s="22"/>
    </row>
    <row r="908" spans="14:15" ht="12.75">
      <c r="N908" s="22"/>
      <c r="O908" s="22"/>
    </row>
    <row r="909" spans="14:15" ht="12.75">
      <c r="N909" s="22"/>
      <c r="O909" s="22"/>
    </row>
    <row r="910" spans="14:15" ht="12.75">
      <c r="N910" s="22"/>
      <c r="O910" s="22"/>
    </row>
    <row r="911" spans="14:15" ht="12.75">
      <c r="N911" s="22"/>
      <c r="O911" s="22"/>
    </row>
    <row r="912" spans="14:15" ht="12.75">
      <c r="N912" s="22"/>
      <c r="O912" s="22"/>
    </row>
    <row r="913" spans="14:15" ht="12.75">
      <c r="N913" s="22"/>
      <c r="O913" s="22"/>
    </row>
    <row r="914" spans="14:15" ht="12.75">
      <c r="N914" s="22"/>
      <c r="O914" s="22"/>
    </row>
    <row r="915" spans="14:15" ht="12.75">
      <c r="N915" s="22"/>
      <c r="O915" s="22"/>
    </row>
    <row r="916" spans="14:15" ht="12.75">
      <c r="N916" s="22"/>
      <c r="O916" s="22"/>
    </row>
    <row r="917" spans="14:15" ht="12.75">
      <c r="N917" s="22"/>
      <c r="O917" s="22"/>
    </row>
    <row r="918" spans="14:15" ht="12.75">
      <c r="N918" s="22"/>
      <c r="O918" s="22"/>
    </row>
    <row r="919" spans="14:15" ht="12.75">
      <c r="N919" s="22"/>
      <c r="O919" s="22"/>
    </row>
    <row r="920" spans="14:15" ht="12.75">
      <c r="N920" s="22"/>
      <c r="O920" s="22"/>
    </row>
    <row r="921" spans="14:15" ht="12.75">
      <c r="N921" s="22"/>
      <c r="O921" s="22"/>
    </row>
    <row r="922" spans="14:15" ht="12.75">
      <c r="N922" s="22"/>
      <c r="O922" s="22"/>
    </row>
    <row r="923" spans="14:15" ht="12.75">
      <c r="N923" s="22"/>
      <c r="O923" s="22"/>
    </row>
    <row r="924" spans="14:15" ht="12.75">
      <c r="N924" s="22"/>
      <c r="O924" s="22"/>
    </row>
    <row r="925" spans="14:15" ht="12.75">
      <c r="N925" s="22"/>
      <c r="O925" s="22"/>
    </row>
    <row r="926" spans="14:15" ht="12.75">
      <c r="N926" s="22"/>
      <c r="O926" s="22"/>
    </row>
    <row r="927" spans="14:15" ht="12.75">
      <c r="N927" s="22"/>
      <c r="O927" s="22"/>
    </row>
    <row r="928" spans="14:15" ht="12.75">
      <c r="N928" s="22"/>
      <c r="O928" s="22"/>
    </row>
    <row r="929" spans="14:15" ht="12.75">
      <c r="N929" s="22"/>
      <c r="O929" s="22"/>
    </row>
    <row r="930" spans="14:15" ht="12.75">
      <c r="N930" s="22"/>
      <c r="O930" s="22"/>
    </row>
    <row r="931" spans="14:15" ht="12.75">
      <c r="N931" s="22"/>
      <c r="O931" s="22"/>
    </row>
    <row r="932" spans="14:15" ht="12.75">
      <c r="N932" s="22"/>
      <c r="O932" s="22"/>
    </row>
    <row r="933" spans="14:15" ht="12.75">
      <c r="N933" s="22"/>
      <c r="O933" s="22"/>
    </row>
    <row r="934" spans="14:15" ht="12.75">
      <c r="N934" s="22"/>
      <c r="O934" s="22"/>
    </row>
    <row r="935" spans="14:15" ht="12.75">
      <c r="N935" s="22"/>
      <c r="O935" s="22"/>
    </row>
    <row r="936" spans="14:15" ht="12.75">
      <c r="N936" s="22"/>
      <c r="O936" s="22"/>
    </row>
    <row r="937" spans="14:15" ht="12.75">
      <c r="N937" s="22"/>
      <c r="O937" s="22"/>
    </row>
    <row r="938" spans="14:15" ht="12.75">
      <c r="N938" s="22"/>
      <c r="O938" s="22"/>
    </row>
    <row r="939" spans="14:15" ht="12.75">
      <c r="N939" s="22"/>
      <c r="O939" s="22"/>
    </row>
    <row r="940" spans="14:15" ht="12.75">
      <c r="N940" s="22"/>
      <c r="O940" s="22"/>
    </row>
    <row r="941" spans="14:15" ht="12.75">
      <c r="N941" s="22"/>
      <c r="O941" s="22"/>
    </row>
    <row r="942" spans="14:15" ht="12.75">
      <c r="N942" s="22"/>
      <c r="O942" s="22"/>
    </row>
    <row r="943" spans="14:15" ht="12.75">
      <c r="N943" s="22"/>
      <c r="O943" s="22"/>
    </row>
    <row r="944" spans="14:15" ht="12.75">
      <c r="N944" s="22"/>
      <c r="O944" s="22"/>
    </row>
    <row r="945" spans="14:15" ht="12.75">
      <c r="N945" s="22"/>
      <c r="O945" s="22"/>
    </row>
    <row r="946" spans="14:15" ht="12.75">
      <c r="N946" s="22"/>
      <c r="O946" s="22"/>
    </row>
    <row r="947" spans="14:15" ht="12.75">
      <c r="N947" s="22"/>
      <c r="O947" s="22"/>
    </row>
    <row r="948" spans="14:15" ht="12.75">
      <c r="N948" s="22"/>
      <c r="O948" s="22"/>
    </row>
    <row r="949" spans="14:15" ht="12.75">
      <c r="N949" s="22"/>
      <c r="O949" s="22"/>
    </row>
    <row r="950" spans="14:15" ht="12.75">
      <c r="N950" s="22"/>
      <c r="O950" s="22"/>
    </row>
    <row r="951" spans="14:15" ht="12.75">
      <c r="N951" s="22"/>
      <c r="O951" s="22"/>
    </row>
    <row r="952" spans="14:15" ht="12.75">
      <c r="N952" s="22"/>
      <c r="O952" s="22"/>
    </row>
    <row r="953" spans="14:15" ht="12.75">
      <c r="N953" s="22"/>
      <c r="O953" s="22"/>
    </row>
    <row r="954" spans="14:15" ht="12.75">
      <c r="N954" s="22"/>
      <c r="O954" s="22"/>
    </row>
    <row r="955" spans="14:15" ht="12.75">
      <c r="N955" s="22"/>
      <c r="O955" s="22"/>
    </row>
    <row r="956" spans="14:15" ht="12.75">
      <c r="N956" s="22"/>
      <c r="O956" s="22"/>
    </row>
    <row r="957" spans="14:15" ht="12.75">
      <c r="N957" s="22"/>
      <c r="O957" s="22"/>
    </row>
    <row r="958" spans="14:15" ht="12.75">
      <c r="N958" s="22"/>
      <c r="O958" s="22"/>
    </row>
    <row r="959" spans="14:15" ht="12.75">
      <c r="N959" s="22"/>
      <c r="O959" s="22"/>
    </row>
    <row r="960" spans="14:15" ht="12.75">
      <c r="N960" s="22"/>
      <c r="O960" s="22"/>
    </row>
    <row r="961" spans="14:15" ht="12.75">
      <c r="N961" s="22"/>
      <c r="O961" s="22"/>
    </row>
    <row r="962" spans="14:15" ht="12.75">
      <c r="N962" s="22"/>
      <c r="O962" s="22"/>
    </row>
    <row r="963" spans="14:15" ht="12.75">
      <c r="N963" s="22"/>
      <c r="O963" s="22"/>
    </row>
    <row r="964" spans="14:15" ht="12.75">
      <c r="N964" s="22"/>
      <c r="O964" s="22"/>
    </row>
    <row r="965" spans="14:15" ht="12.75">
      <c r="N965" s="22"/>
      <c r="O965" s="22"/>
    </row>
    <row r="966" spans="14:15" ht="12.75">
      <c r="N966" s="22"/>
      <c r="O966" s="22"/>
    </row>
    <row r="967" spans="14:15" ht="12.75">
      <c r="N967" s="22"/>
      <c r="O967" s="22"/>
    </row>
    <row r="968" spans="14:15" ht="12.75">
      <c r="N968" s="22"/>
      <c r="O968" s="22"/>
    </row>
    <row r="969" spans="14:15" ht="12.75">
      <c r="N969" s="22"/>
      <c r="O969" s="22"/>
    </row>
    <row r="970" spans="14:15" ht="12.75">
      <c r="N970" s="22"/>
      <c r="O970" s="22"/>
    </row>
    <row r="971" spans="14:15" ht="12.75">
      <c r="N971" s="22"/>
      <c r="O971" s="22"/>
    </row>
    <row r="972" spans="14:15" ht="12.75">
      <c r="N972" s="22"/>
      <c r="O972" s="22"/>
    </row>
    <row r="973" spans="14:15" ht="12.75">
      <c r="N973" s="22"/>
      <c r="O973" s="22"/>
    </row>
    <row r="974" spans="14:15" ht="12.75">
      <c r="N974" s="22"/>
      <c r="O974" s="22"/>
    </row>
    <row r="975" spans="14:15" ht="12.75">
      <c r="N975" s="22"/>
      <c r="O975" s="22"/>
    </row>
    <row r="976" spans="14:15" ht="12.75">
      <c r="N976" s="22"/>
      <c r="O976" s="22"/>
    </row>
    <row r="977" spans="14:15" ht="12.75">
      <c r="N977" s="22"/>
      <c r="O977" s="22"/>
    </row>
    <row r="978" spans="14:15" ht="12.75">
      <c r="N978" s="22"/>
      <c r="O978" s="22"/>
    </row>
    <row r="979" spans="14:15" ht="12.75">
      <c r="N979" s="22"/>
      <c r="O979" s="22"/>
    </row>
    <row r="980" spans="14:15" ht="12.75">
      <c r="N980" s="22"/>
      <c r="O980" s="22"/>
    </row>
    <row r="981" spans="14:15" ht="12.75">
      <c r="N981" s="22"/>
      <c r="O981" s="22"/>
    </row>
    <row r="982" spans="14:15" ht="12.75">
      <c r="N982" s="22"/>
      <c r="O982" s="22"/>
    </row>
    <row r="983" spans="14:15" ht="12.75">
      <c r="N983" s="22"/>
      <c r="O983" s="22"/>
    </row>
    <row r="984" spans="14:15" ht="12.75">
      <c r="N984" s="22"/>
      <c r="O984" s="22"/>
    </row>
    <row r="985" spans="14:15" ht="12.75">
      <c r="N985" s="22"/>
      <c r="O985" s="22"/>
    </row>
    <row r="986" spans="14:15" ht="12.75">
      <c r="N986" s="22"/>
      <c r="O986" s="22"/>
    </row>
    <row r="987" spans="14:15" ht="12.75">
      <c r="N987" s="22"/>
      <c r="O987" s="22"/>
    </row>
    <row r="988" spans="14:15" ht="12.75">
      <c r="N988" s="22"/>
      <c r="O988" s="22"/>
    </row>
    <row r="989" spans="14:15" ht="12.75">
      <c r="N989" s="22"/>
      <c r="O989" s="22"/>
    </row>
    <row r="990" spans="14:15" ht="12.75">
      <c r="N990" s="22"/>
      <c r="O990" s="22"/>
    </row>
    <row r="991" spans="14:15" ht="12.75">
      <c r="N991" s="22"/>
      <c r="O991" s="22"/>
    </row>
    <row r="992" spans="14:15" ht="12.75">
      <c r="N992" s="22"/>
      <c r="O992" s="22"/>
    </row>
    <row r="993" spans="14:15" ht="12.75">
      <c r="N993" s="22"/>
      <c r="O993" s="22"/>
    </row>
    <row r="994" spans="14:15" ht="12.75">
      <c r="N994" s="22"/>
      <c r="O994" s="22"/>
    </row>
    <row r="995" spans="14:15" ht="12.75">
      <c r="N995" s="22"/>
      <c r="O995" s="22"/>
    </row>
    <row r="996" spans="14:15" ht="12.75">
      <c r="N996" s="22"/>
      <c r="O996" s="22"/>
    </row>
    <row r="997" spans="14:15" ht="12.75">
      <c r="N997" s="22"/>
      <c r="O997" s="22"/>
    </row>
    <row r="998" spans="14:15" ht="12.75">
      <c r="N998" s="22"/>
      <c r="O998" s="22"/>
    </row>
    <row r="999" spans="14:15" ht="12.75">
      <c r="N999" s="22"/>
      <c r="O999" s="22"/>
    </row>
    <row r="1000" spans="14:15" ht="12.75">
      <c r="N1000" s="22"/>
      <c r="O1000" s="22"/>
    </row>
    <row r="1001" spans="14:15" ht="12.75">
      <c r="N1001" s="22"/>
      <c r="O1001" s="22"/>
    </row>
    <row r="1002" spans="14:15" ht="12.75">
      <c r="N1002" s="22"/>
      <c r="O1002" s="22"/>
    </row>
    <row r="1003" spans="14:15" ht="12.75">
      <c r="N1003" s="22"/>
      <c r="O1003" s="22"/>
    </row>
    <row r="1004" spans="14:15" ht="12.75">
      <c r="N1004" s="22"/>
      <c r="O1004" s="22"/>
    </row>
    <row r="1005" spans="14:15" ht="12.75">
      <c r="N1005" s="22"/>
      <c r="O1005" s="22"/>
    </row>
    <row r="1006" spans="14:15" ht="12.75">
      <c r="N1006" s="22"/>
      <c r="O1006" s="22"/>
    </row>
    <row r="1007" spans="14:15" ht="12.75">
      <c r="N1007" s="22"/>
      <c r="O1007" s="22"/>
    </row>
    <row r="1008" spans="14:15" ht="12.75">
      <c r="N1008" s="22"/>
      <c r="O1008" s="22"/>
    </row>
    <row r="1009" spans="14:15" ht="12.75">
      <c r="N1009" s="22"/>
      <c r="O1009" s="22"/>
    </row>
    <row r="1010" spans="14:15" ht="12.75">
      <c r="N1010" s="22"/>
      <c r="O1010" s="22"/>
    </row>
    <row r="1011" spans="14:15" ht="12.75">
      <c r="N1011" s="22"/>
      <c r="O1011" s="22"/>
    </row>
    <row r="1012" spans="14:15" ht="12.75">
      <c r="N1012" s="22"/>
      <c r="O1012" s="22"/>
    </row>
    <row r="1013" spans="14:15" ht="12.75">
      <c r="N1013" s="22"/>
      <c r="O1013" s="22"/>
    </row>
    <row r="1014" spans="14:15" ht="12.75">
      <c r="N1014" s="22"/>
      <c r="O1014" s="22"/>
    </row>
    <row r="1015" spans="14:15" ht="12.75">
      <c r="N1015" s="22"/>
      <c r="O1015" s="22"/>
    </row>
    <row r="1016" spans="14:15" ht="12.75">
      <c r="N1016" s="22"/>
      <c r="O1016" s="22"/>
    </row>
    <row r="1017" spans="14:15" ht="12.75">
      <c r="N1017" s="22"/>
      <c r="O1017" s="22"/>
    </row>
    <row r="1018" spans="14:15" ht="12.75">
      <c r="N1018" s="22"/>
      <c r="O1018" s="22"/>
    </row>
    <row r="1019" spans="14:15" ht="12.75">
      <c r="N1019" s="22"/>
      <c r="O1019" s="22"/>
    </row>
    <row r="1020" spans="14:15" ht="12.75">
      <c r="N1020" s="22"/>
      <c r="O1020" s="22"/>
    </row>
    <row r="1021" spans="14:15" ht="12.75">
      <c r="N1021" s="22"/>
      <c r="O1021" s="22"/>
    </row>
    <row r="1022" spans="14:15" ht="12.75">
      <c r="N1022" s="22"/>
      <c r="O1022" s="22"/>
    </row>
    <row r="1023" spans="14:15" ht="12.75">
      <c r="N1023" s="22"/>
      <c r="O1023" s="22"/>
    </row>
    <row r="1024" spans="14:15" ht="12.75">
      <c r="N1024" s="22"/>
      <c r="O1024" s="22"/>
    </row>
    <row r="1025" spans="14:15" ht="12.75">
      <c r="N1025" s="22"/>
      <c r="O1025" s="22"/>
    </row>
    <row r="1026" spans="14:15" ht="12.75">
      <c r="N1026" s="22"/>
      <c r="O1026" s="22"/>
    </row>
    <row r="1027" spans="14:15" ht="12.75">
      <c r="N1027" s="22"/>
      <c r="O1027" s="22"/>
    </row>
    <row r="1028" spans="14:15" ht="12.75">
      <c r="N1028" s="22"/>
      <c r="O1028" s="22"/>
    </row>
    <row r="1029" spans="14:15" ht="12.75">
      <c r="N1029" s="22"/>
      <c r="O1029" s="22"/>
    </row>
    <row r="1030" spans="14:15" ht="12.75">
      <c r="N1030" s="22"/>
      <c r="O1030" s="22"/>
    </row>
    <row r="1031" spans="14:15" ht="12.75">
      <c r="N1031" s="22"/>
      <c r="O1031" s="22"/>
    </row>
    <row r="1032" spans="14:15" ht="12.75">
      <c r="N1032" s="22"/>
      <c r="O1032" s="22"/>
    </row>
    <row r="1033" spans="14:15" ht="12.75">
      <c r="N1033" s="22"/>
      <c r="O1033" s="22"/>
    </row>
    <row r="1034" spans="14:15" ht="12.75">
      <c r="N1034" s="22"/>
      <c r="O1034" s="22"/>
    </row>
    <row r="1035" spans="14:15" ht="12.75">
      <c r="N1035" s="22"/>
      <c r="O1035" s="22"/>
    </row>
    <row r="1036" spans="14:15" ht="12.75">
      <c r="N1036" s="22"/>
      <c r="O1036" s="22"/>
    </row>
    <row r="1037" spans="14:15" ht="12.75">
      <c r="N1037" s="22"/>
      <c r="O1037" s="22"/>
    </row>
    <row r="1038" spans="14:15" ht="12.75">
      <c r="N1038" s="22"/>
      <c r="O1038" s="22"/>
    </row>
    <row r="1039" spans="14:15" ht="12.75">
      <c r="N1039" s="22"/>
      <c r="O1039" s="22"/>
    </row>
    <row r="1040" spans="14:15" ht="12.75">
      <c r="N1040" s="22"/>
      <c r="O1040" s="22"/>
    </row>
    <row r="1041" spans="14:15" ht="12.75">
      <c r="N1041" s="22"/>
      <c r="O1041" s="22"/>
    </row>
    <row r="1042" spans="14:15" ht="12.75">
      <c r="N1042" s="22"/>
      <c r="O1042" s="22"/>
    </row>
    <row r="1043" spans="14:15" ht="12.75">
      <c r="N1043" s="22"/>
      <c r="O1043" s="22"/>
    </row>
    <row r="1044" spans="14:15" ht="12.75">
      <c r="N1044" s="22"/>
      <c r="O1044" s="22"/>
    </row>
    <row r="1045" spans="14:15" ht="12.75">
      <c r="N1045" s="22"/>
      <c r="O1045" s="22"/>
    </row>
    <row r="1046" spans="14:15" ht="12.75">
      <c r="N1046" s="22"/>
      <c r="O1046" s="22"/>
    </row>
    <row r="1047" spans="14:15" ht="12.75">
      <c r="N1047" s="22"/>
      <c r="O1047" s="22"/>
    </row>
    <row r="1048" spans="14:15" ht="12.75">
      <c r="N1048" s="22"/>
      <c r="O1048" s="22"/>
    </row>
    <row r="1049" spans="14:15" ht="12.75">
      <c r="N1049" s="22"/>
      <c r="O1049" s="22"/>
    </row>
    <row r="1050" spans="14:15" ht="12.75">
      <c r="N1050" s="22"/>
      <c r="O1050" s="22"/>
    </row>
    <row r="1051" spans="14:15" ht="12.75">
      <c r="N1051" s="22"/>
      <c r="O1051" s="22"/>
    </row>
    <row r="1052" spans="14:15" ht="12.75">
      <c r="N1052" s="22"/>
      <c r="O1052" s="22"/>
    </row>
    <row r="1053" spans="14:15" ht="12.75">
      <c r="N1053" s="22"/>
      <c r="O1053" s="22"/>
    </row>
    <row r="1054" spans="14:15" ht="12.75">
      <c r="N1054" s="22"/>
      <c r="O1054" s="22"/>
    </row>
    <row r="1055" spans="14:15" ht="12.75">
      <c r="N1055" s="22"/>
      <c r="O1055" s="22"/>
    </row>
    <row r="1056" spans="14:15" ht="12.75">
      <c r="N1056" s="22"/>
      <c r="O1056" s="22"/>
    </row>
    <row r="1057" spans="14:15" ht="12.75">
      <c r="N1057" s="22"/>
      <c r="O1057" s="22"/>
    </row>
    <row r="1058" spans="14:15" ht="12.75">
      <c r="N1058" s="22"/>
      <c r="O1058" s="22"/>
    </row>
    <row r="1059" spans="14:15" ht="12.75">
      <c r="N1059" s="22"/>
      <c r="O1059" s="22"/>
    </row>
    <row r="1060" spans="14:15" ht="12.75">
      <c r="N1060" s="22"/>
      <c r="O1060" s="22"/>
    </row>
    <row r="1061" spans="14:15" ht="12.75">
      <c r="N1061" s="22"/>
      <c r="O1061" s="22"/>
    </row>
    <row r="1062" spans="14:15" ht="12.75">
      <c r="N1062" s="22"/>
      <c r="O1062" s="22"/>
    </row>
    <row r="1063" spans="14:15" ht="12.75">
      <c r="N1063" s="22"/>
      <c r="O1063" s="22"/>
    </row>
    <row r="1064" spans="14:15" ht="12.75">
      <c r="N1064" s="22"/>
      <c r="O1064" s="22"/>
    </row>
    <row r="1065" spans="14:15" ht="12.75">
      <c r="N1065" s="22"/>
      <c r="O1065" s="22"/>
    </row>
    <row r="1066" spans="14:15" ht="12.75">
      <c r="N1066" s="22"/>
      <c r="O1066" s="22"/>
    </row>
    <row r="1067" spans="14:15" ht="12.75">
      <c r="N1067" s="22"/>
      <c r="O1067" s="22"/>
    </row>
    <row r="1068" spans="14:15" ht="12.75">
      <c r="N1068" s="22"/>
      <c r="O1068" s="22"/>
    </row>
    <row r="1069" spans="14:15" ht="12.75">
      <c r="N1069" s="22"/>
      <c r="O1069" s="22"/>
    </row>
    <row r="1070" spans="14:15" ht="12.75">
      <c r="N1070" s="22"/>
      <c r="O1070" s="22"/>
    </row>
    <row r="1071" spans="14:15" ht="12.75">
      <c r="N1071" s="22"/>
      <c r="O1071" s="22"/>
    </row>
    <row r="1072" spans="14:15" ht="12.75">
      <c r="N1072" s="22"/>
      <c r="O1072" s="22"/>
    </row>
    <row r="1073" spans="14:15" ht="12.75">
      <c r="N1073" s="22"/>
      <c r="O1073" s="22"/>
    </row>
    <row r="1074" spans="14:15" ht="12.75">
      <c r="N1074" s="22"/>
      <c r="O1074" s="22"/>
    </row>
    <row r="1075" spans="14:15" ht="12.75">
      <c r="N1075" s="22"/>
      <c r="O1075" s="22"/>
    </row>
    <row r="1076" spans="14:15" ht="12.75">
      <c r="N1076" s="22"/>
      <c r="O1076" s="22"/>
    </row>
    <row r="1077" spans="14:15" ht="12.75">
      <c r="N1077" s="22"/>
      <c r="O1077" s="22"/>
    </row>
    <row r="1078" spans="14:15" ht="12.75">
      <c r="N1078" s="22"/>
      <c r="O1078" s="22"/>
    </row>
    <row r="1079" spans="14:15" ht="12.75">
      <c r="N1079" s="22"/>
      <c r="O1079" s="22"/>
    </row>
    <row r="1080" spans="14:15" ht="12.75">
      <c r="N1080" s="22"/>
      <c r="O1080" s="22"/>
    </row>
    <row r="1081" spans="14:15" ht="12.75">
      <c r="N1081" s="22"/>
      <c r="O1081" s="22"/>
    </row>
    <row r="1082" spans="14:15" ht="12.75">
      <c r="N1082" s="22"/>
      <c r="O1082" s="22"/>
    </row>
    <row r="1083" spans="14:15" ht="12.75">
      <c r="N1083" s="22"/>
      <c r="O1083" s="22"/>
    </row>
    <row r="1084" spans="14:15" ht="12.75">
      <c r="N1084" s="22"/>
      <c r="O1084" s="22"/>
    </row>
    <row r="1085" spans="14:15" ht="12.75">
      <c r="N1085" s="22"/>
      <c r="O1085" s="22"/>
    </row>
    <row r="1086" spans="14:15" ht="12.75">
      <c r="N1086" s="22"/>
      <c r="O1086" s="22"/>
    </row>
    <row r="1087" spans="14:15" ht="12.75">
      <c r="N1087" s="22"/>
      <c r="O1087" s="22"/>
    </row>
    <row r="1088" spans="14:15" ht="12.75">
      <c r="N1088" s="22"/>
      <c r="O1088" s="22"/>
    </row>
    <row r="1089" spans="14:15" ht="12.75">
      <c r="N1089" s="22"/>
      <c r="O1089" s="22"/>
    </row>
    <row r="1090" spans="14:15" ht="12.75">
      <c r="N1090" s="22"/>
      <c r="O1090" s="22"/>
    </row>
    <row r="1091" spans="14:15" ht="12.75">
      <c r="N1091" s="22"/>
      <c r="O1091" s="22"/>
    </row>
    <row r="1092" spans="14:15" ht="12.75">
      <c r="N1092" s="22"/>
      <c r="O1092" s="22"/>
    </row>
    <row r="1093" spans="14:15" ht="12.75">
      <c r="N1093" s="22"/>
      <c r="O1093" s="22"/>
    </row>
    <row r="1094" spans="14:15" ht="12.75">
      <c r="N1094" s="22"/>
      <c r="O1094" s="22"/>
    </row>
    <row r="1095" spans="14:15" ht="12.75">
      <c r="N1095" s="22"/>
      <c r="O1095" s="22"/>
    </row>
    <row r="1096" spans="14:15" ht="12.75">
      <c r="N1096" s="22"/>
      <c r="O1096" s="22"/>
    </row>
    <row r="1097" spans="14:15" ht="12.75">
      <c r="N1097" s="22"/>
      <c r="O1097" s="22"/>
    </row>
    <row r="1098" spans="14:15" ht="12.75">
      <c r="N1098" s="22"/>
      <c r="O1098" s="22"/>
    </row>
    <row r="1099" spans="14:15" ht="12.75">
      <c r="N1099" s="22"/>
      <c r="O1099" s="22"/>
    </row>
    <row r="1100" spans="14:15" ht="12.75">
      <c r="N1100" s="22"/>
      <c r="O1100" s="22"/>
    </row>
    <row r="1101" spans="14:15" ht="12.75">
      <c r="N1101" s="22"/>
      <c r="O1101" s="22"/>
    </row>
    <row r="1102" spans="14:15" ht="12.75">
      <c r="N1102" s="22"/>
      <c r="O1102" s="22"/>
    </row>
    <row r="1103" spans="14:15" ht="12.75">
      <c r="N1103" s="22"/>
      <c r="O1103" s="22"/>
    </row>
    <row r="1104" spans="14:15" ht="12.75">
      <c r="N1104" s="22"/>
      <c r="O1104" s="22"/>
    </row>
    <row r="1105" spans="14:15" ht="12.75">
      <c r="N1105" s="22"/>
      <c r="O1105" s="22"/>
    </row>
    <row r="1106" spans="14:15" ht="12.75">
      <c r="N1106" s="22"/>
      <c r="O1106" s="22"/>
    </row>
    <row r="1107" spans="14:15" ht="12.75">
      <c r="N1107" s="22"/>
      <c r="O1107" s="22"/>
    </row>
    <row r="1108" spans="14:15" ht="12.75">
      <c r="N1108" s="22"/>
      <c r="O1108" s="22"/>
    </row>
    <row r="1109" spans="14:15" ht="12.75">
      <c r="N1109" s="22"/>
      <c r="O1109" s="22"/>
    </row>
    <row r="1110" spans="14:15" ht="12.75">
      <c r="N1110" s="22"/>
      <c r="O1110" s="22"/>
    </row>
    <row r="1111" spans="14:15" ht="12.75">
      <c r="N1111" s="22"/>
      <c r="O1111" s="22"/>
    </row>
    <row r="1112" spans="14:15" ht="12.75">
      <c r="N1112" s="22"/>
      <c r="O1112" s="22"/>
    </row>
    <row r="1113" spans="14:15" ht="12.75">
      <c r="N1113" s="22"/>
      <c r="O1113" s="22"/>
    </row>
    <row r="1114" spans="14:15" ht="12.75">
      <c r="N1114" s="22"/>
      <c r="O1114" s="22"/>
    </row>
    <row r="1115" spans="14:15" ht="12.75">
      <c r="N1115" s="22"/>
      <c r="O1115" s="22"/>
    </row>
    <row r="1116" spans="14:15" ht="12.75">
      <c r="N1116" s="22"/>
      <c r="O1116" s="22"/>
    </row>
    <row r="1117" spans="14:15" ht="12.75">
      <c r="N1117" s="22"/>
      <c r="O1117" s="22"/>
    </row>
    <row r="1118" spans="14:15" ht="12.75">
      <c r="N1118" s="22"/>
      <c r="O1118" s="22"/>
    </row>
    <row r="1119" spans="14:15" ht="12.75">
      <c r="N1119" s="22"/>
      <c r="O1119" s="22"/>
    </row>
    <row r="1120" spans="14:15" ht="12.75">
      <c r="N1120" s="22"/>
      <c r="O1120" s="22"/>
    </row>
    <row r="1121" spans="14:15" ht="12.75">
      <c r="N1121" s="22"/>
      <c r="O1121" s="22"/>
    </row>
    <row r="1122" spans="14:15" ht="12.75">
      <c r="N1122" s="22"/>
      <c r="O1122" s="22"/>
    </row>
    <row r="1123" spans="14:15" ht="12.75">
      <c r="N1123" s="22"/>
      <c r="O1123" s="22"/>
    </row>
    <row r="1124" spans="14:15" ht="12.75">
      <c r="N1124" s="22"/>
      <c r="O1124" s="22"/>
    </row>
    <row r="1125" spans="14:15" ht="12.75">
      <c r="N1125" s="22"/>
      <c r="O1125" s="22"/>
    </row>
    <row r="1126" spans="14:15" ht="12.75">
      <c r="N1126" s="22"/>
      <c r="O1126" s="22"/>
    </row>
    <row r="1127" spans="14:15" ht="12.75">
      <c r="N1127" s="22"/>
      <c r="O1127" s="22"/>
    </row>
    <row r="1128" spans="14:15" ht="12.75">
      <c r="N1128" s="22"/>
      <c r="O1128" s="22"/>
    </row>
    <row r="1129" spans="14:15" ht="12.75">
      <c r="N1129" s="22"/>
      <c r="O1129" s="22"/>
    </row>
    <row r="1130" spans="14:15" ht="12.75">
      <c r="N1130" s="22"/>
      <c r="O1130" s="22"/>
    </row>
    <row r="1131" spans="14:15" ht="12.75">
      <c r="N1131" s="22"/>
      <c r="O1131" s="22"/>
    </row>
    <row r="1132" spans="14:15" ht="12.75">
      <c r="N1132" s="22"/>
      <c r="O1132" s="22"/>
    </row>
    <row r="1133" spans="14:15" ht="12.75">
      <c r="N1133" s="22"/>
      <c r="O1133" s="22"/>
    </row>
    <row r="1134" spans="14:15" ht="12.75">
      <c r="N1134" s="22"/>
      <c r="O1134" s="22"/>
    </row>
    <row r="1135" spans="14:15" ht="12.75">
      <c r="N1135" s="22"/>
      <c r="O1135" s="22"/>
    </row>
    <row r="1136" spans="14:15" ht="12.75">
      <c r="N1136" s="22"/>
      <c r="O1136" s="22"/>
    </row>
    <row r="1137" spans="14:15" ht="12.75">
      <c r="N1137" s="22"/>
      <c r="O1137" s="22"/>
    </row>
    <row r="1138" spans="14:15" ht="12.75">
      <c r="N1138" s="22"/>
      <c r="O1138" s="22"/>
    </row>
    <row r="1139" spans="14:15" ht="12.75">
      <c r="N1139" s="22"/>
      <c r="O1139" s="22"/>
    </row>
    <row r="1140" spans="14:15" ht="12.75">
      <c r="N1140" s="22"/>
      <c r="O1140" s="22"/>
    </row>
    <row r="1141" spans="14:15" ht="12.75">
      <c r="N1141" s="22"/>
      <c r="O1141" s="22"/>
    </row>
    <row r="1142" spans="14:15" ht="12.75">
      <c r="N1142" s="22"/>
      <c r="O1142" s="22"/>
    </row>
    <row r="1143" spans="14:15" ht="12.75">
      <c r="N1143" s="22"/>
      <c r="O1143" s="22"/>
    </row>
    <row r="1144" spans="14:15" ht="12.75">
      <c r="N1144" s="22"/>
      <c r="O1144" s="22"/>
    </row>
    <row r="1145" spans="14:15" ht="12.75">
      <c r="N1145" s="22"/>
      <c r="O1145" s="22"/>
    </row>
    <row r="1146" spans="14:15" ht="12.75">
      <c r="N1146" s="22"/>
      <c r="O1146" s="22"/>
    </row>
    <row r="1147" spans="14:15" ht="12.75">
      <c r="N1147" s="22"/>
      <c r="O1147" s="22"/>
    </row>
    <row r="1148" spans="14:15" ht="12.75">
      <c r="N1148" s="22"/>
      <c r="O1148" s="22"/>
    </row>
    <row r="1149" spans="14:15" ht="12.75">
      <c r="N1149" s="22"/>
      <c r="O1149" s="22"/>
    </row>
    <row r="1150" spans="14:15" ht="12.75">
      <c r="N1150" s="22"/>
      <c r="O1150" s="22"/>
    </row>
    <row r="1151" spans="14:15" ht="12.75">
      <c r="N1151" s="22"/>
      <c r="O1151" s="22"/>
    </row>
    <row r="1152" spans="14:15" ht="12.75">
      <c r="N1152" s="22"/>
      <c r="O1152" s="22"/>
    </row>
    <row r="1153" spans="14:15" ht="12.75">
      <c r="N1153" s="22"/>
      <c r="O1153" s="22"/>
    </row>
    <row r="1154" spans="14:15" ht="12.75">
      <c r="N1154" s="22"/>
      <c r="O1154" s="22"/>
    </row>
    <row r="1155" spans="14:15" ht="12.75">
      <c r="N1155" s="22"/>
      <c r="O1155" s="22"/>
    </row>
    <row r="1156" spans="14:15" ht="12.75">
      <c r="N1156" s="22"/>
      <c r="O1156" s="22"/>
    </row>
    <row r="1157" spans="14:15" ht="12.75">
      <c r="N1157" s="22"/>
      <c r="O1157" s="22"/>
    </row>
    <row r="1158" spans="14:15" ht="12.75">
      <c r="N1158" s="22"/>
      <c r="O1158" s="22"/>
    </row>
    <row r="1159" spans="14:15" ht="12.75">
      <c r="N1159" s="22"/>
      <c r="O1159" s="22"/>
    </row>
    <row r="1160" spans="14:15" ht="12.75">
      <c r="N1160" s="22"/>
      <c r="O1160" s="22"/>
    </row>
    <row r="1161" spans="14:15" ht="12.75">
      <c r="N1161" s="22"/>
      <c r="O1161" s="22"/>
    </row>
    <row r="1162" spans="14:15" ht="12.75">
      <c r="N1162" s="22"/>
      <c r="O1162" s="22"/>
    </row>
    <row r="1163" spans="14:15" ht="12.75">
      <c r="N1163" s="22"/>
      <c r="O1163" s="22"/>
    </row>
    <row r="1164" spans="14:15" ht="12.75">
      <c r="N1164" s="22"/>
      <c r="O1164" s="22"/>
    </row>
    <row r="1165" spans="14:15" ht="12.75">
      <c r="N1165" s="22"/>
      <c r="O1165" s="22"/>
    </row>
    <row r="1166" spans="14:15" ht="12.75">
      <c r="N1166" s="22"/>
      <c r="O1166" s="22"/>
    </row>
    <row r="1167" spans="14:15" ht="12.75">
      <c r="N1167" s="22"/>
      <c r="O1167" s="22"/>
    </row>
    <row r="1168" spans="14:15" ht="12.75">
      <c r="N1168" s="22"/>
      <c r="O1168" s="22"/>
    </row>
    <row r="1169" spans="14:15" ht="12.75">
      <c r="N1169" s="22"/>
      <c r="O1169" s="22"/>
    </row>
    <row r="1170" spans="14:15" ht="12.75">
      <c r="N1170" s="22"/>
      <c r="O1170" s="22"/>
    </row>
    <row r="1171" spans="14:15" ht="12.75">
      <c r="N1171" s="22"/>
      <c r="O1171" s="22"/>
    </row>
    <row r="1172" spans="14:15" ht="12.75">
      <c r="N1172" s="22"/>
      <c r="O1172" s="22"/>
    </row>
    <row r="1173" spans="14:15" ht="12.75">
      <c r="N1173" s="22"/>
      <c r="O1173" s="22"/>
    </row>
    <row r="1174" spans="14:15" ht="12.75">
      <c r="N1174" s="22"/>
      <c r="O1174" s="22"/>
    </row>
    <row r="1175" spans="14:15" ht="12.75">
      <c r="N1175" s="22"/>
      <c r="O1175" s="22"/>
    </row>
    <row r="1176" spans="14:15" ht="12.75">
      <c r="N1176" s="22"/>
      <c r="O1176" s="22"/>
    </row>
    <row r="1177" spans="14:15" ht="12.75">
      <c r="N1177" s="22"/>
      <c r="O1177" s="22"/>
    </row>
    <row r="1178" spans="14:15" ht="12.75">
      <c r="N1178" s="22"/>
      <c r="O1178" s="22"/>
    </row>
    <row r="1179" spans="14:15" ht="12.75">
      <c r="N1179" s="22"/>
      <c r="O1179" s="22"/>
    </row>
    <row r="1180" spans="14:15" ht="12.75">
      <c r="N1180" s="22"/>
      <c r="O1180" s="22"/>
    </row>
    <row r="1181" spans="14:15" ht="12.75">
      <c r="N1181" s="22"/>
      <c r="O1181" s="22"/>
    </row>
    <row r="1182" spans="14:15" ht="12.75">
      <c r="N1182" s="22"/>
      <c r="O1182" s="22"/>
    </row>
    <row r="1183" spans="14:15" ht="12.75">
      <c r="N1183" s="22"/>
      <c r="O1183" s="22"/>
    </row>
    <row r="1184" spans="14:15" ht="12.75">
      <c r="N1184" s="22"/>
      <c r="O1184" s="22"/>
    </row>
    <row r="1185" spans="14:15" ht="12.75">
      <c r="N1185" s="22"/>
      <c r="O1185" s="22"/>
    </row>
    <row r="1186" spans="14:15" ht="12.75">
      <c r="N1186" s="22"/>
      <c r="O1186" s="22"/>
    </row>
    <row r="1187" spans="14:15" ht="12.75">
      <c r="N1187" s="22"/>
      <c r="O1187" s="22"/>
    </row>
    <row r="1188" spans="14:15" ht="12.75">
      <c r="N1188" s="22"/>
      <c r="O1188" s="22"/>
    </row>
    <row r="1189" spans="14:15" ht="12.75">
      <c r="N1189" s="22"/>
      <c r="O1189" s="22"/>
    </row>
    <row r="1190" spans="14:15" ht="12.75">
      <c r="N1190" s="22"/>
      <c r="O1190" s="22"/>
    </row>
    <row r="1191" spans="14:15" ht="12.75">
      <c r="N1191" s="22"/>
      <c r="O1191" s="22"/>
    </row>
    <row r="1192" spans="14:15" ht="12.75">
      <c r="N1192" s="22"/>
      <c r="O1192" s="22"/>
    </row>
    <row r="1193" spans="14:15" ht="12.75">
      <c r="N1193" s="22"/>
      <c r="O1193" s="22"/>
    </row>
    <row r="1194" spans="14:15" ht="12.75">
      <c r="N1194" s="22"/>
      <c r="O1194" s="22"/>
    </row>
    <row r="1195" spans="14:15" ht="12.75">
      <c r="N1195" s="22"/>
      <c r="O1195" s="22"/>
    </row>
    <row r="1196" spans="14:15" ht="12.75">
      <c r="N1196" s="22"/>
      <c r="O1196" s="22"/>
    </row>
    <row r="1197" spans="14:15" ht="12.75">
      <c r="N1197" s="22"/>
      <c r="O1197" s="22"/>
    </row>
    <row r="1198" spans="14:15" ht="12.75">
      <c r="N1198" s="22"/>
      <c r="O1198" s="22"/>
    </row>
    <row r="1199" spans="14:15" ht="12.75">
      <c r="N1199" s="22"/>
      <c r="O1199" s="22"/>
    </row>
    <row r="1200" spans="14:15" ht="12.75">
      <c r="N1200" s="22"/>
      <c r="O1200" s="22"/>
    </row>
    <row r="1201" spans="14:15" ht="12.75">
      <c r="N1201" s="22"/>
      <c r="O1201" s="22"/>
    </row>
    <row r="1202" spans="14:15" ht="12.75">
      <c r="N1202" s="22"/>
      <c r="O1202" s="22"/>
    </row>
    <row r="1203" spans="14:15" ht="12.75">
      <c r="N1203" s="22"/>
      <c r="O1203" s="22"/>
    </row>
    <row r="1204" spans="14:15" ht="12.75">
      <c r="N1204" s="22"/>
      <c r="O1204" s="22"/>
    </row>
    <row r="1205" spans="14:15" ht="12.75">
      <c r="N1205" s="22"/>
      <c r="O1205" s="22"/>
    </row>
    <row r="1206" spans="14:15" ht="12.75">
      <c r="N1206" s="22"/>
      <c r="O1206" s="22"/>
    </row>
    <row r="1207" spans="14:15" ht="12.75">
      <c r="N1207" s="22"/>
      <c r="O1207" s="22"/>
    </row>
    <row r="1208" spans="14:15" ht="12.75">
      <c r="N1208" s="22"/>
      <c r="O1208" s="22"/>
    </row>
    <row r="1209" spans="14:15" ht="12.75">
      <c r="N1209" s="22"/>
      <c r="O1209" s="22"/>
    </row>
    <row r="1210" spans="14:15" ht="12.75">
      <c r="N1210" s="22"/>
      <c r="O1210" s="22"/>
    </row>
    <row r="1211" spans="14:15" ht="12.75">
      <c r="N1211" s="22"/>
      <c r="O1211" s="22"/>
    </row>
    <row r="1212" spans="14:15" ht="12.75">
      <c r="N1212" s="22"/>
      <c r="O1212" s="22"/>
    </row>
    <row r="1213" spans="14:15" ht="12.75">
      <c r="N1213" s="22"/>
      <c r="O1213" s="22"/>
    </row>
    <row r="1214" spans="14:15" ht="12.75">
      <c r="N1214" s="22"/>
      <c r="O1214" s="22"/>
    </row>
    <row r="1215" spans="14:15" ht="12.75">
      <c r="N1215" s="22"/>
      <c r="O1215" s="22"/>
    </row>
    <row r="1216" spans="14:15" ht="12.75">
      <c r="N1216" s="22"/>
      <c r="O1216" s="22"/>
    </row>
    <row r="1217" spans="14:15" ht="12.75">
      <c r="N1217" s="22"/>
      <c r="O1217" s="22"/>
    </row>
    <row r="1218" spans="14:15" ht="12.75">
      <c r="N1218" s="22"/>
      <c r="O1218" s="22"/>
    </row>
    <row r="1219" spans="14:15" ht="12.75">
      <c r="N1219" s="22"/>
      <c r="O1219" s="22"/>
    </row>
    <row r="1220" spans="14:15" ht="12.75">
      <c r="N1220" s="22"/>
      <c r="O1220" s="22"/>
    </row>
    <row r="1221" spans="14:15" ht="12.75">
      <c r="N1221" s="22"/>
      <c r="O1221" s="22"/>
    </row>
    <row r="1222" spans="14:15" ht="12.75">
      <c r="N1222" s="22"/>
      <c r="O1222" s="22"/>
    </row>
    <row r="1223" spans="14:15" ht="12.75">
      <c r="N1223" s="22"/>
      <c r="O1223" s="22"/>
    </row>
    <row r="1224" spans="14:15" ht="12.75">
      <c r="N1224" s="22"/>
      <c r="O1224" s="22"/>
    </row>
    <row r="1225" spans="14:15" ht="12.75">
      <c r="N1225" s="22"/>
      <c r="O1225" s="22"/>
    </row>
    <row r="1226" spans="14:15" ht="12.75">
      <c r="N1226" s="22"/>
      <c r="O1226" s="22"/>
    </row>
    <row r="1227" spans="14:15" ht="12.75">
      <c r="N1227" s="22"/>
      <c r="O1227" s="22"/>
    </row>
    <row r="1228" spans="14:15" ht="12.75">
      <c r="N1228" s="22"/>
      <c r="O1228" s="22"/>
    </row>
    <row r="1229" spans="14:15" ht="12.75">
      <c r="N1229" s="22"/>
      <c r="O1229" s="22"/>
    </row>
    <row r="1230" spans="14:15" ht="12.75">
      <c r="N1230" s="22"/>
      <c r="O1230" s="22"/>
    </row>
    <row r="1231" spans="14:15" ht="12.75">
      <c r="N1231" s="22"/>
      <c r="O1231" s="22"/>
    </row>
    <row r="1232" spans="14:15" ht="12.75">
      <c r="N1232" s="22"/>
      <c r="O1232" s="22"/>
    </row>
    <row r="1233" spans="14:15" ht="12.75">
      <c r="N1233" s="22"/>
      <c r="O1233" s="22"/>
    </row>
    <row r="1234" spans="14:15" ht="12.75">
      <c r="N1234" s="22"/>
      <c r="O1234" s="22"/>
    </row>
    <row r="1235" spans="14:15" ht="12.75">
      <c r="N1235" s="22"/>
      <c r="O1235" s="22"/>
    </row>
    <row r="1236" spans="14:15" ht="12.75">
      <c r="N1236" s="22"/>
      <c r="O1236" s="22"/>
    </row>
    <row r="1237" spans="14:15" ht="12.75">
      <c r="N1237" s="22"/>
      <c r="O1237" s="22"/>
    </row>
    <row r="1238" spans="14:15" ht="12.75">
      <c r="N1238" s="22"/>
      <c r="O1238" s="22"/>
    </row>
    <row r="1239" spans="14:15" ht="12.75">
      <c r="N1239" s="22"/>
      <c r="O1239" s="22"/>
    </row>
    <row r="1240" spans="14:15" ht="12.75">
      <c r="N1240" s="22"/>
      <c r="O1240" s="22"/>
    </row>
    <row r="1241" spans="14:15" ht="12.75">
      <c r="N1241" s="22"/>
      <c r="O1241" s="22"/>
    </row>
    <row r="1242" spans="14:15" ht="12.75">
      <c r="N1242" s="22"/>
      <c r="O1242" s="22"/>
    </row>
    <row r="1243" spans="14:15" ht="12.75">
      <c r="N1243" s="22"/>
      <c r="O1243" s="22"/>
    </row>
    <row r="1244" spans="14:15" ht="12.75">
      <c r="N1244" s="22"/>
      <c r="O1244" s="22"/>
    </row>
    <row r="1245" spans="14:15" ht="12.75">
      <c r="N1245" s="22"/>
      <c r="O1245" s="22"/>
    </row>
    <row r="1246" spans="14:15" ht="12.75">
      <c r="N1246" s="22"/>
      <c r="O1246" s="22"/>
    </row>
    <row r="1247" spans="14:15" ht="12.75">
      <c r="N1247" s="22"/>
      <c r="O1247" s="22"/>
    </row>
    <row r="1248" spans="14:15" ht="12.75">
      <c r="N1248" s="22"/>
      <c r="O1248" s="22"/>
    </row>
    <row r="1249" spans="14:15" ht="12.75">
      <c r="N1249" s="22"/>
      <c r="O1249" s="22"/>
    </row>
    <row r="1250" spans="14:15" ht="12.75">
      <c r="N1250" s="22"/>
      <c r="O1250" s="22"/>
    </row>
    <row r="1251" spans="14:15" ht="12.75">
      <c r="N1251" s="22"/>
      <c r="O1251" s="22"/>
    </row>
    <row r="1252" spans="14:15" ht="12.75">
      <c r="N1252" s="22"/>
      <c r="O1252" s="22"/>
    </row>
    <row r="1253" spans="14:15" ht="12.75">
      <c r="N1253" s="22"/>
      <c r="O1253" s="22"/>
    </row>
    <row r="1254" spans="14:15" ht="12.75">
      <c r="N1254" s="22"/>
      <c r="O1254" s="22"/>
    </row>
    <row r="1255" spans="14:15" ht="12.75">
      <c r="N1255" s="22"/>
      <c r="O1255" s="22"/>
    </row>
    <row r="1256" spans="14:15" ht="12.75">
      <c r="N1256" s="22"/>
      <c r="O1256" s="22"/>
    </row>
    <row r="1257" spans="14:15" ht="12.75">
      <c r="N1257" s="22"/>
      <c r="O1257" s="22"/>
    </row>
    <row r="1258" spans="14:15" ht="12.75">
      <c r="N1258" s="22"/>
      <c r="O1258" s="22"/>
    </row>
    <row r="1259" spans="14:15" ht="12.75">
      <c r="N1259" s="22"/>
      <c r="O1259" s="22"/>
    </row>
    <row r="1260" spans="14:15" ht="12.75">
      <c r="N1260" s="22"/>
      <c r="O1260" s="22"/>
    </row>
    <row r="1261" spans="14:15" ht="12.75">
      <c r="N1261" s="22"/>
      <c r="O1261" s="22"/>
    </row>
    <row r="1262" spans="14:15" ht="12.75">
      <c r="N1262" s="22"/>
      <c r="O1262" s="22"/>
    </row>
    <row r="1263" spans="14:15" ht="12.75">
      <c r="N1263" s="22"/>
      <c r="O1263" s="22"/>
    </row>
    <row r="1264" spans="14:15" ht="12.75">
      <c r="N1264" s="22"/>
      <c r="O1264" s="22"/>
    </row>
    <row r="1265" spans="14:15" ht="12.75">
      <c r="N1265" s="22"/>
      <c r="O1265" s="22"/>
    </row>
    <row r="1266" spans="14:15" ht="12.75">
      <c r="N1266" s="22"/>
      <c r="O1266" s="22"/>
    </row>
    <row r="1267" spans="14:15" ht="12.75">
      <c r="N1267" s="22"/>
      <c r="O1267" s="22"/>
    </row>
    <row r="1268" spans="14:15" ht="12.75">
      <c r="N1268" s="22"/>
      <c r="O1268" s="22"/>
    </row>
    <row r="1269" spans="14:15" ht="12.75">
      <c r="N1269" s="22"/>
      <c r="O1269" s="22"/>
    </row>
    <row r="1270" spans="14:15" ht="12.75">
      <c r="N1270" s="22"/>
      <c r="O1270" s="22"/>
    </row>
    <row r="1271" spans="14:15" ht="12.75">
      <c r="N1271" s="22"/>
      <c r="O1271" s="22"/>
    </row>
    <row r="1272" spans="14:15" ht="12.75">
      <c r="N1272" s="22"/>
      <c r="O1272" s="22"/>
    </row>
    <row r="1273" spans="14:15" ht="12.75">
      <c r="N1273" s="22"/>
      <c r="O1273" s="22"/>
    </row>
    <row r="1274" spans="14:15" ht="12.75">
      <c r="N1274" s="22"/>
      <c r="O1274" s="22"/>
    </row>
    <row r="1275" spans="14:15" ht="12.75">
      <c r="N1275" s="22"/>
      <c r="O1275" s="22"/>
    </row>
    <row r="1276" spans="14:15" ht="12.75">
      <c r="N1276" s="22"/>
      <c r="O1276" s="22"/>
    </row>
    <row r="1277" spans="14:15" ht="12.75">
      <c r="N1277" s="22"/>
      <c r="O1277" s="22"/>
    </row>
    <row r="1278" spans="14:15" ht="12.75">
      <c r="N1278" s="22"/>
      <c r="O1278" s="22"/>
    </row>
    <row r="1279" spans="14:15" ht="12.75">
      <c r="N1279" s="22"/>
      <c r="O1279" s="22"/>
    </row>
    <row r="1280" spans="14:15" ht="12.75">
      <c r="N1280" s="22"/>
      <c r="O1280" s="22"/>
    </row>
    <row r="1281" spans="14:15" ht="12.75">
      <c r="N1281" s="22"/>
      <c r="O1281" s="22"/>
    </row>
    <row r="1282" spans="14:15" ht="12.75">
      <c r="N1282" s="22"/>
      <c r="O1282" s="22"/>
    </row>
    <row r="1283" spans="14:15" ht="12.75">
      <c r="N1283" s="22"/>
      <c r="O1283" s="22"/>
    </row>
    <row r="1284" spans="14:15" ht="12.75">
      <c r="N1284" s="22"/>
      <c r="O1284" s="22"/>
    </row>
    <row r="1285" spans="14:15" ht="12.75">
      <c r="N1285" s="22"/>
      <c r="O1285" s="22"/>
    </row>
    <row r="1286" spans="14:15" ht="12.75">
      <c r="N1286" s="22"/>
      <c r="O1286" s="22"/>
    </row>
    <row r="1287" spans="14:15" ht="12.75">
      <c r="N1287" s="22"/>
      <c r="O1287" s="22"/>
    </row>
    <row r="1288" spans="14:15" ht="12.75">
      <c r="N1288" s="22"/>
      <c r="O1288" s="22"/>
    </row>
    <row r="1289" spans="14:15" ht="12.75">
      <c r="N1289" s="22"/>
      <c r="O1289" s="22"/>
    </row>
    <row r="1290" spans="14:15" ht="12.75">
      <c r="N1290" s="22"/>
      <c r="O1290" s="22"/>
    </row>
    <row r="1291" spans="14:15" ht="12.75">
      <c r="N1291" s="22"/>
      <c r="O1291" s="22"/>
    </row>
    <row r="1292" spans="14:15" ht="12.75">
      <c r="N1292" s="22"/>
      <c r="O1292" s="22"/>
    </row>
    <row r="1293" spans="14:15" ht="12.75">
      <c r="N1293" s="22"/>
      <c r="O1293" s="22"/>
    </row>
    <row r="1294" spans="14:15" ht="12.75">
      <c r="N1294" s="22"/>
      <c r="O1294" s="22"/>
    </row>
    <row r="1295" spans="14:15" ht="12.75">
      <c r="N1295" s="22"/>
      <c r="O1295" s="22"/>
    </row>
    <row r="1296" spans="14:15" ht="12.75">
      <c r="N1296" s="22"/>
      <c r="O1296" s="22"/>
    </row>
    <row r="1297" spans="14:15" ht="12.75">
      <c r="N1297" s="22"/>
      <c r="O1297" s="22"/>
    </row>
    <row r="1298" spans="14:15" ht="12.75">
      <c r="N1298" s="22"/>
      <c r="O1298" s="22"/>
    </row>
    <row r="1299" spans="14:15" ht="12.75">
      <c r="N1299" s="22"/>
      <c r="O1299" s="22"/>
    </row>
    <row r="1300" spans="14:15" ht="12.75">
      <c r="N1300" s="22"/>
      <c r="O1300" s="22"/>
    </row>
    <row r="1301" spans="14:15" ht="12.75">
      <c r="N1301" s="22"/>
      <c r="O1301" s="22"/>
    </row>
    <row r="1302" spans="14:15" ht="12.75">
      <c r="N1302" s="22"/>
      <c r="O1302" s="22"/>
    </row>
    <row r="1303" spans="14:15" ht="12.75">
      <c r="N1303" s="22"/>
      <c r="O1303" s="22"/>
    </row>
    <row r="1304" spans="14:15" ht="12.75">
      <c r="N1304" s="22"/>
      <c r="O1304" s="22"/>
    </row>
    <row r="1305" spans="14:15" ht="12.75">
      <c r="N1305" s="22"/>
      <c r="O1305" s="22"/>
    </row>
    <row r="1306" spans="14:15" ht="12.75">
      <c r="N1306" s="22"/>
      <c r="O1306" s="22"/>
    </row>
    <row r="1307" spans="14:15" ht="12.75">
      <c r="N1307" s="22"/>
      <c r="O1307" s="22"/>
    </row>
    <row r="1308" spans="14:15" ht="12.75">
      <c r="N1308" s="22"/>
      <c r="O1308" s="22"/>
    </row>
    <row r="1309" spans="14:15" ht="12.75">
      <c r="N1309" s="22"/>
      <c r="O1309" s="22"/>
    </row>
    <row r="1310" spans="14:15" ht="12.75">
      <c r="N1310" s="22"/>
      <c r="O1310" s="22"/>
    </row>
    <row r="1311" spans="14:15" ht="12.75">
      <c r="N1311" s="22"/>
      <c r="O1311" s="22"/>
    </row>
    <row r="1312" spans="14:15" ht="12.75">
      <c r="N1312" s="22"/>
      <c r="O1312" s="22"/>
    </row>
    <row r="1313" spans="14:15" ht="12.75">
      <c r="N1313" s="22"/>
      <c r="O1313" s="22"/>
    </row>
    <row r="1314" spans="14:15" ht="12.75">
      <c r="N1314" s="22"/>
      <c r="O1314" s="22"/>
    </row>
    <row r="1315" spans="14:15" ht="12.75">
      <c r="N1315" s="22"/>
      <c r="O1315" s="22"/>
    </row>
    <row r="1316" spans="14:15" ht="12.75">
      <c r="N1316" s="22"/>
      <c r="O1316" s="22"/>
    </row>
    <row r="1317" spans="14:15" ht="12.75">
      <c r="N1317" s="22"/>
      <c r="O1317" s="22"/>
    </row>
    <row r="1318" spans="14:15" ht="12.75">
      <c r="N1318" s="22"/>
      <c r="O1318" s="22"/>
    </row>
    <row r="1319" spans="14:15" ht="12.75">
      <c r="N1319" s="22"/>
      <c r="O1319" s="22"/>
    </row>
    <row r="1320" spans="14:15" ht="12.75">
      <c r="N1320" s="22"/>
      <c r="O1320" s="22"/>
    </row>
    <row r="1321" spans="14:15" ht="12.75">
      <c r="N1321" s="22"/>
      <c r="O1321" s="22"/>
    </row>
    <row r="1322" spans="14:15" ht="12.75">
      <c r="N1322" s="22"/>
      <c r="O1322" s="22"/>
    </row>
    <row r="1323" spans="14:15" ht="12.75">
      <c r="N1323" s="22"/>
      <c r="O1323" s="22"/>
    </row>
    <row r="1324" spans="14:15" ht="12.75">
      <c r="N1324" s="22"/>
      <c r="O1324" s="22"/>
    </row>
    <row r="1325" spans="14:15" ht="12.75">
      <c r="N1325" s="22"/>
      <c r="O1325" s="22"/>
    </row>
    <row r="1326" spans="14:15" ht="12.75">
      <c r="N1326" s="22"/>
      <c r="O1326" s="22"/>
    </row>
    <row r="1327" spans="14:15" ht="12.75">
      <c r="N1327" s="22"/>
      <c r="O1327" s="22"/>
    </row>
    <row r="1328" spans="14:15" ht="12.75">
      <c r="N1328" s="22"/>
      <c r="O1328" s="22"/>
    </row>
    <row r="1329" spans="14:15" ht="12.75">
      <c r="N1329" s="22"/>
      <c r="O1329" s="22"/>
    </row>
    <row r="1330" spans="14:15" ht="12.75">
      <c r="N1330" s="22"/>
      <c r="O1330" s="22"/>
    </row>
    <row r="1331" spans="14:15" ht="12.75">
      <c r="N1331" s="22"/>
      <c r="O1331" s="22"/>
    </row>
    <row r="1332" spans="14:15" ht="12.75">
      <c r="N1332" s="22"/>
      <c r="O1332" s="22"/>
    </row>
    <row r="1333" spans="14:15" ht="12.75">
      <c r="N1333" s="22"/>
      <c r="O1333" s="22"/>
    </row>
    <row r="1334" spans="14:15" ht="12.75">
      <c r="N1334" s="22"/>
      <c r="O1334" s="22"/>
    </row>
    <row r="1335" spans="14:15" ht="12.75">
      <c r="N1335" s="22"/>
      <c r="O1335" s="22"/>
    </row>
    <row r="1336" spans="14:15" ht="12.75">
      <c r="N1336" s="22"/>
      <c r="O1336" s="22"/>
    </row>
    <row r="1337" spans="14:15" ht="12.75">
      <c r="N1337" s="22"/>
      <c r="O1337" s="22"/>
    </row>
    <row r="1338" spans="14:15" ht="12.75">
      <c r="N1338" s="22"/>
      <c r="O1338" s="22"/>
    </row>
    <row r="1339" spans="14:15" ht="12.75">
      <c r="N1339" s="22"/>
      <c r="O1339" s="22"/>
    </row>
    <row r="1340" spans="14:15" ht="12.75">
      <c r="N1340" s="22"/>
      <c r="O1340" s="22"/>
    </row>
    <row r="1341" spans="14:15" ht="12.75">
      <c r="N1341" s="22"/>
      <c r="O1341" s="22"/>
    </row>
    <row r="1342" spans="14:15" ht="12.75">
      <c r="N1342" s="22"/>
      <c r="O1342" s="22"/>
    </row>
    <row r="1343" spans="14:15" ht="12.75">
      <c r="N1343" s="22"/>
      <c r="O1343" s="22"/>
    </row>
    <row r="1344" spans="14:15" ht="12.75">
      <c r="N1344" s="22"/>
      <c r="O1344" s="22"/>
    </row>
    <row r="1345" spans="14:15" ht="12.75">
      <c r="N1345" s="22"/>
      <c r="O1345" s="22"/>
    </row>
    <row r="1346" spans="14:15" ht="12.75">
      <c r="N1346" s="22"/>
      <c r="O1346" s="22"/>
    </row>
    <row r="1347" spans="14:15" ht="12.75">
      <c r="N1347" s="22"/>
      <c r="O1347" s="22"/>
    </row>
    <row r="1348" spans="14:15" ht="12.75">
      <c r="N1348" s="22"/>
      <c r="O1348" s="22"/>
    </row>
    <row r="1349" spans="14:15" ht="12.75">
      <c r="N1349" s="22"/>
      <c r="O1349" s="22"/>
    </row>
    <row r="1350" spans="14:15" ht="12.75">
      <c r="N1350" s="22"/>
      <c r="O1350" s="22"/>
    </row>
    <row r="1351" spans="14:15" ht="12.75">
      <c r="N1351" s="22"/>
      <c r="O1351" s="22"/>
    </row>
    <row r="1352" spans="14:15" ht="12.75">
      <c r="N1352" s="22"/>
      <c r="O1352" s="22"/>
    </row>
    <row r="1353" spans="14:15" ht="12.75">
      <c r="N1353" s="22"/>
      <c r="O1353" s="22"/>
    </row>
    <row r="1354" spans="14:15" ht="12.75">
      <c r="N1354" s="22"/>
      <c r="O1354" s="22"/>
    </row>
    <row r="1355" spans="14:15" ht="12.75">
      <c r="N1355" s="22"/>
      <c r="O1355" s="22"/>
    </row>
    <row r="1356" spans="14:15" ht="12.75">
      <c r="N1356" s="22"/>
      <c r="O1356" s="22"/>
    </row>
    <row r="1357" spans="14:15" ht="12.75">
      <c r="N1357" s="22"/>
      <c r="O1357" s="22"/>
    </row>
    <row r="1358" spans="14:15" ht="12.75">
      <c r="N1358" s="22"/>
      <c r="O1358" s="22"/>
    </row>
    <row r="1359" spans="14:15" ht="12.75">
      <c r="N1359" s="22"/>
      <c r="O1359" s="22"/>
    </row>
    <row r="1360" spans="14:15" ht="12.75">
      <c r="N1360" s="22"/>
      <c r="O1360" s="22"/>
    </row>
    <row r="1361" spans="14:15" ht="12.75">
      <c r="N1361" s="22"/>
      <c r="O1361" s="22"/>
    </row>
    <row r="1362" spans="14:15" ht="12.75">
      <c r="N1362" s="22"/>
      <c r="O1362" s="22"/>
    </row>
    <row r="1363" spans="14:15" ht="12.75">
      <c r="N1363" s="22"/>
      <c r="O1363" s="22"/>
    </row>
    <row r="1364" spans="14:15" ht="12.75">
      <c r="N1364" s="22"/>
      <c r="O1364" s="22"/>
    </row>
    <row r="1365" spans="14:15" ht="12.75">
      <c r="N1365" s="22"/>
      <c r="O1365" s="22"/>
    </row>
    <row r="1366" spans="14:15" ht="12.75">
      <c r="N1366" s="22"/>
      <c r="O1366" s="22"/>
    </row>
    <row r="1367" spans="14:15" ht="12.75">
      <c r="N1367" s="22"/>
      <c r="O1367" s="22"/>
    </row>
    <row r="1368" spans="14:15" ht="12.75">
      <c r="N1368" s="22"/>
      <c r="O1368" s="22"/>
    </row>
    <row r="1369" spans="14:15" ht="12.75">
      <c r="N1369" s="22"/>
      <c r="O1369" s="22"/>
    </row>
    <row r="1370" spans="14:15" ht="12.75">
      <c r="N1370" s="22"/>
      <c r="O1370" s="22"/>
    </row>
    <row r="1371" spans="14:15" ht="12.75">
      <c r="N1371" s="22"/>
      <c r="O1371" s="22"/>
    </row>
    <row r="1372" spans="14:15" ht="12.75">
      <c r="N1372" s="22"/>
      <c r="O1372" s="22"/>
    </row>
    <row r="1373" spans="14:15" ht="12.75">
      <c r="N1373" s="22"/>
      <c r="O1373" s="22"/>
    </row>
    <row r="1374" spans="14:15" ht="12.75">
      <c r="N1374" s="22"/>
      <c r="O1374" s="22"/>
    </row>
    <row r="1375" spans="14:15" ht="12.75">
      <c r="N1375" s="22"/>
      <c r="O1375" s="22"/>
    </row>
    <row r="1376" spans="14:15" ht="12.75">
      <c r="N1376" s="22"/>
      <c r="O1376" s="22"/>
    </row>
    <row r="1377" spans="14:15" ht="12.75">
      <c r="N1377" s="22"/>
      <c r="O1377" s="22"/>
    </row>
    <row r="1378" spans="14:15" ht="12.75">
      <c r="N1378" s="22"/>
      <c r="O1378" s="22"/>
    </row>
    <row r="1379" spans="14:15" ht="12.75">
      <c r="N1379" s="22"/>
      <c r="O1379" s="22"/>
    </row>
    <row r="1380" spans="14:15" ht="12.75">
      <c r="N1380" s="22"/>
      <c r="O1380" s="22"/>
    </row>
    <row r="1381" spans="14:15" ht="12.75">
      <c r="N1381" s="22"/>
      <c r="O1381" s="22"/>
    </row>
    <row r="1382" spans="14:15" ht="12.75">
      <c r="N1382" s="22"/>
      <c r="O1382" s="22"/>
    </row>
    <row r="1383" spans="14:15" ht="12.75">
      <c r="N1383" s="22"/>
      <c r="O1383" s="22"/>
    </row>
    <row r="1384" spans="14:15" ht="12.75">
      <c r="N1384" s="22"/>
      <c r="O1384" s="22"/>
    </row>
    <row r="1385" spans="14:15" ht="12.75">
      <c r="N1385" s="22"/>
      <c r="O1385" s="22"/>
    </row>
    <row r="1386" spans="14:15" ht="12.75">
      <c r="N1386" s="22"/>
      <c r="O1386" s="22"/>
    </row>
    <row r="1387" spans="14:15" ht="12.75">
      <c r="N1387" s="22"/>
      <c r="O1387" s="22"/>
    </row>
    <row r="1388" spans="14:15" ht="12.75">
      <c r="N1388" s="22"/>
      <c r="O1388" s="22"/>
    </row>
    <row r="1389" spans="14:15" ht="12.75">
      <c r="N1389" s="22"/>
      <c r="O1389" s="22"/>
    </row>
    <row r="1390" spans="14:15" ht="12.75">
      <c r="N1390" s="22"/>
      <c r="O1390" s="22"/>
    </row>
    <row r="1391" spans="14:15" ht="12.75">
      <c r="N1391" s="22"/>
      <c r="O1391" s="22"/>
    </row>
    <row r="1392" spans="14:15" ht="12.75">
      <c r="N1392" s="22"/>
      <c r="O1392" s="22"/>
    </row>
    <row r="1393" spans="14:15" ht="12.75">
      <c r="N1393" s="22"/>
      <c r="O1393" s="22"/>
    </row>
    <row r="1394" spans="14:15" ht="12.75">
      <c r="N1394" s="22"/>
      <c r="O1394" s="22"/>
    </row>
    <row r="1395" spans="14:15" ht="12.75">
      <c r="N1395" s="22"/>
      <c r="O1395" s="22"/>
    </row>
    <row r="1396" spans="14:15" ht="12.75">
      <c r="N1396" s="22"/>
      <c r="O1396" s="22"/>
    </row>
    <row r="1397" spans="14:15" ht="12.75">
      <c r="N1397" s="22"/>
      <c r="O1397" s="22"/>
    </row>
    <row r="1398" spans="14:15" ht="12.75">
      <c r="N1398" s="22"/>
      <c r="O1398" s="22"/>
    </row>
    <row r="1399" spans="14:15" ht="12.75">
      <c r="N1399" s="22"/>
      <c r="O1399" s="22"/>
    </row>
    <row r="1400" spans="14:15" ht="12.75">
      <c r="N1400" s="22"/>
      <c r="O1400" s="22"/>
    </row>
    <row r="1401" spans="14:15" ht="12.75">
      <c r="N1401" s="22"/>
      <c r="O1401" s="22"/>
    </row>
    <row r="1402" spans="14:15" ht="12.75">
      <c r="N1402" s="22"/>
      <c r="O1402" s="22"/>
    </row>
    <row r="1403" spans="14:15" ht="12.75">
      <c r="N1403" s="22"/>
      <c r="O1403" s="22"/>
    </row>
    <row r="1404" spans="14:15" ht="12.75">
      <c r="N1404" s="22"/>
      <c r="O1404" s="22"/>
    </row>
    <row r="1405" spans="14:15" ht="12.75">
      <c r="N1405" s="22"/>
      <c r="O1405" s="22"/>
    </row>
    <row r="1406" spans="14:15" ht="12.75">
      <c r="N1406" s="22"/>
      <c r="O1406" s="22"/>
    </row>
    <row r="1407" spans="14:15" ht="12.75">
      <c r="N1407" s="22"/>
      <c r="O1407" s="22"/>
    </row>
    <row r="1408" spans="14:15" ht="12.75">
      <c r="N1408" s="22"/>
      <c r="O1408" s="22"/>
    </row>
    <row r="1409" spans="14:15" ht="12.75">
      <c r="N1409" s="22"/>
      <c r="O1409" s="22"/>
    </row>
    <row r="1410" spans="14:15" ht="12.75">
      <c r="N1410" s="22"/>
      <c r="O1410" s="22"/>
    </row>
    <row r="1411" spans="14:15" ht="12.75">
      <c r="N1411" s="22"/>
      <c r="O1411" s="22"/>
    </row>
    <row r="1412" spans="14:15" ht="12.75">
      <c r="N1412" s="22"/>
      <c r="O1412" s="22"/>
    </row>
    <row r="1413" spans="14:15" ht="12.75">
      <c r="N1413" s="22"/>
      <c r="O1413" s="22"/>
    </row>
    <row r="1414" spans="14:15" ht="12.75">
      <c r="N1414" s="22"/>
      <c r="O1414" s="22"/>
    </row>
    <row r="1415" spans="14:15" ht="12.75">
      <c r="N1415" s="22"/>
      <c r="O1415" s="22"/>
    </row>
    <row r="1416" spans="14:15" ht="12.75">
      <c r="N1416" s="22"/>
      <c r="O1416" s="22"/>
    </row>
    <row r="1417" spans="14:15" ht="12.75">
      <c r="N1417" s="22"/>
      <c r="O1417" s="22"/>
    </row>
    <row r="1418" spans="14:15" ht="12.75">
      <c r="N1418" s="22"/>
      <c r="O1418" s="22"/>
    </row>
    <row r="1419" spans="14:15" ht="12.75">
      <c r="N1419" s="22"/>
      <c r="O1419" s="22"/>
    </row>
    <row r="1420" spans="14:15" ht="12.75">
      <c r="N1420" s="22"/>
      <c r="O1420" s="22"/>
    </row>
    <row r="1421" spans="14:15" ht="12.75">
      <c r="N1421" s="22"/>
      <c r="O1421" s="22"/>
    </row>
    <row r="1422" spans="14:15" ht="12.75">
      <c r="N1422" s="22"/>
      <c r="O1422" s="22"/>
    </row>
    <row r="1423" spans="14:15" ht="12.75">
      <c r="N1423" s="22"/>
      <c r="O1423" s="22"/>
    </row>
    <row r="1424" spans="14:15" ht="12.75">
      <c r="N1424" s="22"/>
      <c r="O1424" s="22"/>
    </row>
    <row r="1425" spans="14:15" ht="12.75">
      <c r="N1425" s="22"/>
      <c r="O1425" s="22"/>
    </row>
    <row r="1426" spans="14:15" ht="12.75">
      <c r="N1426" s="22"/>
      <c r="O1426" s="22"/>
    </row>
    <row r="1427" spans="14:15" ht="12.75">
      <c r="N1427" s="22"/>
      <c r="O1427" s="22"/>
    </row>
    <row r="1428" spans="14:15" ht="12.75">
      <c r="N1428" s="22"/>
      <c r="O1428" s="22"/>
    </row>
    <row r="1429" spans="14:15" ht="12.75">
      <c r="N1429" s="22"/>
      <c r="O1429" s="22"/>
    </row>
    <row r="1430" spans="14:15" ht="12.75">
      <c r="N1430" s="22"/>
      <c r="O1430" s="22"/>
    </row>
    <row r="1431" spans="14:15" ht="12.75">
      <c r="N1431" s="22"/>
      <c r="O1431" s="22"/>
    </row>
    <row r="1432" spans="14:15" ht="12.75">
      <c r="N1432" s="22"/>
      <c r="O1432" s="22"/>
    </row>
    <row r="1433" spans="14:15" ht="12.75">
      <c r="N1433" s="22"/>
      <c r="O1433" s="22"/>
    </row>
    <row r="1434" spans="14:15" ht="12.75">
      <c r="N1434" s="22"/>
      <c r="O1434" s="22"/>
    </row>
    <row r="1435" spans="14:15" ht="12.75">
      <c r="N1435" s="22"/>
      <c r="O1435" s="22"/>
    </row>
    <row r="1436" spans="14:15" ht="12.75">
      <c r="N1436" s="22"/>
      <c r="O1436" s="22"/>
    </row>
    <row r="1437" spans="14:15" ht="12.75">
      <c r="N1437" s="22"/>
      <c r="O1437" s="22"/>
    </row>
    <row r="1438" spans="14:15" ht="12.75">
      <c r="N1438" s="22"/>
      <c r="O1438" s="22"/>
    </row>
    <row r="1439" spans="14:15" ht="12.75">
      <c r="N1439" s="22"/>
      <c r="O1439" s="22"/>
    </row>
    <row r="1440" spans="14:15" ht="12.75">
      <c r="N1440" s="22"/>
      <c r="O1440" s="22"/>
    </row>
    <row r="1441" spans="14:15" ht="12.75">
      <c r="N1441" s="22"/>
      <c r="O1441" s="22"/>
    </row>
    <row r="1442" spans="14:15" ht="12.75">
      <c r="N1442" s="22"/>
      <c r="O1442" s="22"/>
    </row>
    <row r="1443" spans="14:15" ht="12.75">
      <c r="N1443" s="22"/>
      <c r="O1443" s="22"/>
    </row>
    <row r="1444" spans="14:15" ht="12.75">
      <c r="N1444" s="22"/>
      <c r="O1444" s="22"/>
    </row>
    <row r="1445" spans="14:15" ht="12.75">
      <c r="N1445" s="22"/>
      <c r="O1445" s="22"/>
    </row>
    <row r="1446" spans="14:15" ht="12.75">
      <c r="N1446" s="22"/>
      <c r="O1446" s="22"/>
    </row>
    <row r="1447" spans="14:15" ht="12.75">
      <c r="N1447" s="22"/>
      <c r="O1447" s="22"/>
    </row>
    <row r="1448" spans="14:15" ht="12.75">
      <c r="N1448" s="22"/>
      <c r="O1448" s="22"/>
    </row>
    <row r="1449" spans="14:15" ht="12.75">
      <c r="N1449" s="22"/>
      <c r="O1449" s="22"/>
    </row>
    <row r="1450" spans="14:15" ht="12.75">
      <c r="N1450" s="22"/>
      <c r="O1450" s="22"/>
    </row>
    <row r="1451" spans="14:15" ht="12.75">
      <c r="N1451" s="22"/>
      <c r="O1451" s="22"/>
    </row>
    <row r="1452" spans="14:15" ht="12.75">
      <c r="N1452" s="22"/>
      <c r="O1452" s="22"/>
    </row>
    <row r="1453" spans="14:15" ht="12.75">
      <c r="N1453" s="22"/>
      <c r="O1453" s="22"/>
    </row>
    <row r="1454" spans="14:15" ht="12.75">
      <c r="N1454" s="22"/>
      <c r="O1454" s="22"/>
    </row>
    <row r="1455" spans="14:15" ht="12.75">
      <c r="N1455" s="22"/>
      <c r="O1455" s="22"/>
    </row>
    <row r="1456" spans="14:15" ht="12.75">
      <c r="N1456" s="22"/>
      <c r="O1456" s="22"/>
    </row>
    <row r="1457" spans="14:15" ht="12.75">
      <c r="N1457" s="22"/>
      <c r="O1457" s="22"/>
    </row>
    <row r="1458" spans="14:15" ht="12.75">
      <c r="N1458" s="22"/>
      <c r="O1458" s="22"/>
    </row>
    <row r="1459" spans="14:15" ht="12.75">
      <c r="N1459" s="22"/>
      <c r="O1459" s="22"/>
    </row>
    <row r="1460" spans="14:15" ht="12.75">
      <c r="N1460" s="22"/>
      <c r="O1460" s="22"/>
    </row>
    <row r="1461" spans="14:15" ht="12.75">
      <c r="N1461" s="22"/>
      <c r="O1461" s="22"/>
    </row>
    <row r="1462" spans="14:15" ht="12.75">
      <c r="N1462" s="22"/>
      <c r="O1462" s="22"/>
    </row>
    <row r="1463" spans="14:15" ht="12.75">
      <c r="N1463" s="22"/>
      <c r="O1463" s="22"/>
    </row>
    <row r="1464" spans="14:15" ht="12.75">
      <c r="N1464" s="22"/>
      <c r="O1464" s="22"/>
    </row>
    <row r="1465" spans="14:15" ht="12.75">
      <c r="N1465" s="22"/>
      <c r="O1465" s="22"/>
    </row>
    <row r="1466" spans="14:15" ht="12.75">
      <c r="N1466" s="22"/>
      <c r="O1466" s="22"/>
    </row>
    <row r="1467" spans="14:15" ht="12.75">
      <c r="N1467" s="22"/>
      <c r="O1467" s="22"/>
    </row>
    <row r="1468" spans="14:15" ht="12.75">
      <c r="N1468" s="22"/>
      <c r="O1468" s="22"/>
    </row>
    <row r="1469" spans="14:15" ht="12.75">
      <c r="N1469" s="22"/>
      <c r="O1469" s="22"/>
    </row>
    <row r="1470" spans="14:15" ht="12.75">
      <c r="N1470" s="22"/>
      <c r="O1470" s="22"/>
    </row>
    <row r="1471" spans="14:15" ht="12.75">
      <c r="N1471" s="22"/>
      <c r="O1471" s="22"/>
    </row>
    <row r="1472" spans="14:15" ht="12.75">
      <c r="N1472" s="22"/>
      <c r="O1472" s="22"/>
    </row>
    <row r="1473" spans="14:15" ht="12.75">
      <c r="N1473" s="22"/>
      <c r="O1473" s="22"/>
    </row>
    <row r="1474" spans="14:15" ht="12.75">
      <c r="N1474" s="22"/>
      <c r="O1474" s="22"/>
    </row>
    <row r="1475" spans="14:15" ht="12.75">
      <c r="N1475" s="22"/>
      <c r="O1475" s="22"/>
    </row>
    <row r="1476" spans="14:15" ht="12.75">
      <c r="N1476" s="22"/>
      <c r="O1476" s="22"/>
    </row>
    <row r="1477" spans="14:15" ht="12.75">
      <c r="N1477" s="22"/>
      <c r="O1477" s="22"/>
    </row>
    <row r="1478" spans="14:15" ht="12.75">
      <c r="N1478" s="22"/>
      <c r="O1478" s="22"/>
    </row>
    <row r="1479" spans="14:15" ht="12.75">
      <c r="N1479" s="22"/>
      <c r="O1479" s="22"/>
    </row>
    <row r="1480" spans="14:15" ht="12.75">
      <c r="N1480" s="22"/>
      <c r="O1480" s="22"/>
    </row>
    <row r="1481" spans="14:15" ht="12.75">
      <c r="N1481" s="22"/>
      <c r="O1481" s="22"/>
    </row>
    <row r="1482" spans="14:15" ht="12.75">
      <c r="N1482" s="22"/>
      <c r="O1482" s="22"/>
    </row>
    <row r="1483" spans="14:15" ht="12.75">
      <c r="N1483" s="22"/>
      <c r="O1483" s="22"/>
    </row>
    <row r="1484" spans="14:15" ht="12.75">
      <c r="N1484" s="22"/>
      <c r="O1484" s="22"/>
    </row>
    <row r="1485" spans="14:15" ht="12.75">
      <c r="N1485" s="22"/>
      <c r="O1485" s="22"/>
    </row>
    <row r="1486" spans="14:15" ht="12.75">
      <c r="N1486" s="22"/>
      <c r="O1486" s="22"/>
    </row>
    <row r="1487" spans="14:15" ht="12.75">
      <c r="N1487" s="22"/>
      <c r="O1487" s="22"/>
    </row>
    <row r="1488" spans="14:15" ht="12.75">
      <c r="N1488" s="22"/>
      <c r="O1488" s="22"/>
    </row>
    <row r="1489" spans="14:15" ht="12.75">
      <c r="N1489" s="22"/>
      <c r="O1489" s="22"/>
    </row>
    <row r="1490" spans="14:15" ht="12.75">
      <c r="N1490" s="22"/>
      <c r="O1490" s="22"/>
    </row>
    <row r="1491" spans="14:15" ht="12.75">
      <c r="N1491" s="22"/>
      <c r="O1491" s="22"/>
    </row>
    <row r="1492" spans="14:15" ht="12.75">
      <c r="N1492" s="22"/>
      <c r="O1492" s="22"/>
    </row>
    <row r="1493" spans="14:15" ht="12.75">
      <c r="N1493" s="22"/>
      <c r="O1493" s="22"/>
    </row>
    <row r="1494" spans="14:15" ht="12.75">
      <c r="N1494" s="22"/>
      <c r="O1494" s="22"/>
    </row>
    <row r="1495" spans="14:15" ht="12.75">
      <c r="N1495" s="22"/>
      <c r="O1495" s="22"/>
    </row>
    <row r="1496" spans="14:15" ht="12.75">
      <c r="N1496" s="22"/>
      <c r="O1496" s="22"/>
    </row>
    <row r="1497" spans="14:15" ht="12.75">
      <c r="N1497" s="22"/>
      <c r="O1497" s="22"/>
    </row>
    <row r="1498" spans="14:15" ht="12.75">
      <c r="N1498" s="22"/>
      <c r="O1498" s="22"/>
    </row>
    <row r="1499" spans="14:15" ht="12.75">
      <c r="N1499" s="22"/>
      <c r="O1499" s="22"/>
    </row>
    <row r="1500" spans="14:15" ht="12.75">
      <c r="N1500" s="22"/>
      <c r="O1500" s="22"/>
    </row>
    <row r="1501" spans="14:15" ht="12.75">
      <c r="N1501" s="22"/>
      <c r="O1501" s="22"/>
    </row>
    <row r="1502" spans="14:15" ht="12.75">
      <c r="N1502" s="22"/>
      <c r="O1502" s="22"/>
    </row>
    <row r="1503" spans="14:15" ht="12.75">
      <c r="N1503" s="22"/>
      <c r="O1503" s="22"/>
    </row>
    <row r="1504" spans="14:15" ht="12.75">
      <c r="N1504" s="22"/>
      <c r="O1504" s="22"/>
    </row>
    <row r="1505" spans="14:15" ht="12.75">
      <c r="N1505" s="22"/>
      <c r="O1505" s="22"/>
    </row>
    <row r="1506" spans="14:15" ht="12.75">
      <c r="N1506" s="22"/>
      <c r="O1506" s="22"/>
    </row>
    <row r="1507" spans="14:15" ht="12.75">
      <c r="N1507" s="22"/>
      <c r="O1507" s="22"/>
    </row>
    <row r="1508" spans="14:15" ht="12.75">
      <c r="N1508" s="22"/>
      <c r="O1508" s="22"/>
    </row>
    <row r="1509" spans="14:15" ht="12.75">
      <c r="N1509" s="22"/>
      <c r="O1509" s="22"/>
    </row>
    <row r="1510" spans="14:15" ht="12.75">
      <c r="N1510" s="22"/>
      <c r="O1510" s="22"/>
    </row>
    <row r="1511" spans="14:15" ht="12.75">
      <c r="N1511" s="22"/>
      <c r="O1511" s="22"/>
    </row>
    <row r="1512" spans="14:15" ht="12.75">
      <c r="N1512" s="22"/>
      <c r="O1512" s="22"/>
    </row>
    <row r="1513" spans="14:15" ht="12.75">
      <c r="N1513" s="22"/>
      <c r="O1513" s="22"/>
    </row>
    <row r="1514" spans="14:15" ht="12.75">
      <c r="N1514" s="22"/>
      <c r="O1514" s="22"/>
    </row>
    <row r="1515" spans="14:15" ht="12.75">
      <c r="N1515" s="22"/>
      <c r="O1515" s="22"/>
    </row>
    <row r="1516" spans="14:15" ht="12.75">
      <c r="N1516" s="22"/>
      <c r="O1516" s="22"/>
    </row>
    <row r="1517" spans="14:15" ht="12.75">
      <c r="N1517" s="22"/>
      <c r="O1517" s="22"/>
    </row>
    <row r="1518" spans="14:15" ht="12.75">
      <c r="N1518" s="22"/>
      <c r="O1518" s="22"/>
    </row>
    <row r="1519" spans="14:15" ht="12.75">
      <c r="N1519" s="22"/>
      <c r="O1519" s="22"/>
    </row>
    <row r="1520" spans="14:15" ht="12.75">
      <c r="N1520" s="22"/>
      <c r="O1520" s="22"/>
    </row>
    <row r="1521" spans="14:15" ht="12.75">
      <c r="N1521" s="22"/>
      <c r="O1521" s="22"/>
    </row>
    <row r="1522" spans="14:15" ht="12.75">
      <c r="N1522" s="22"/>
      <c r="O1522" s="22"/>
    </row>
    <row r="1523" spans="14:15" ht="12.75">
      <c r="N1523" s="22"/>
      <c r="O1523" s="22"/>
    </row>
    <row r="1524" spans="14:15" ht="12.75">
      <c r="N1524" s="22"/>
      <c r="O1524" s="22"/>
    </row>
    <row r="1525" spans="14:15" ht="12.75">
      <c r="N1525" s="22"/>
      <c r="O1525" s="22"/>
    </row>
    <row r="1526" spans="14:15" ht="12.75">
      <c r="N1526" s="22"/>
      <c r="O1526" s="22"/>
    </row>
    <row r="1527" spans="14:15" ht="12.75">
      <c r="N1527" s="22"/>
      <c r="O1527" s="22"/>
    </row>
    <row r="1528" spans="14:15" ht="12.75">
      <c r="N1528" s="22"/>
      <c r="O1528" s="22"/>
    </row>
    <row r="1529" spans="14:15" ht="12.75">
      <c r="N1529" s="22"/>
      <c r="O1529" s="22"/>
    </row>
    <row r="1530" spans="14:15" ht="12.75">
      <c r="N1530" s="22"/>
      <c r="O1530" s="22"/>
    </row>
    <row r="1531" spans="14:15" ht="12.75">
      <c r="N1531" s="22"/>
      <c r="O1531" s="22"/>
    </row>
    <row r="1532" spans="14:15" ht="12.75">
      <c r="N1532" s="22"/>
      <c r="O1532" s="22"/>
    </row>
    <row r="1533" spans="14:15" ht="12.75">
      <c r="N1533" s="22"/>
      <c r="O1533" s="22"/>
    </row>
    <row r="1534" spans="14:15" ht="12.75">
      <c r="N1534" s="22"/>
      <c r="O1534" s="22"/>
    </row>
    <row r="1535" spans="14:15" ht="12.75">
      <c r="N1535" s="22"/>
      <c r="O1535" s="22"/>
    </row>
    <row r="1536" spans="14:15" ht="12.75">
      <c r="N1536" s="22"/>
      <c r="O1536" s="22"/>
    </row>
    <row r="1537" spans="14:15" ht="12.75">
      <c r="N1537" s="22"/>
      <c r="O1537" s="22"/>
    </row>
    <row r="1538" spans="14:15" ht="12.75">
      <c r="N1538" s="22"/>
      <c r="O1538" s="22"/>
    </row>
    <row r="1539" spans="14:15" ht="12.75">
      <c r="N1539" s="22"/>
      <c r="O1539" s="22"/>
    </row>
    <row r="1540" spans="14:15" ht="12.75">
      <c r="N1540" s="22"/>
      <c r="O1540" s="22"/>
    </row>
    <row r="1541" spans="14:15" ht="12.75">
      <c r="N1541" s="22"/>
      <c r="O1541" s="22"/>
    </row>
    <row r="1542" spans="14:15" ht="12.75">
      <c r="N1542" s="22"/>
      <c r="O1542" s="22"/>
    </row>
    <row r="1543" spans="14:15" ht="12.75">
      <c r="N1543" s="22"/>
      <c r="O1543" s="22"/>
    </row>
    <row r="1544" spans="14:15" ht="12.75">
      <c r="N1544" s="22"/>
      <c r="O1544" s="22"/>
    </row>
    <row r="1545" spans="14:15" ht="12.75">
      <c r="N1545" s="22"/>
      <c r="O1545" s="22"/>
    </row>
    <row r="1546" spans="14:15" ht="12.75">
      <c r="N1546" s="22"/>
      <c r="O1546" s="22"/>
    </row>
    <row r="1547" spans="14:15" ht="12.75">
      <c r="N1547" s="22"/>
      <c r="O1547" s="22"/>
    </row>
    <row r="1548" spans="14:15" ht="12.75">
      <c r="N1548" s="22"/>
      <c r="O1548" s="22"/>
    </row>
    <row r="1549" spans="14:15" ht="12.75">
      <c r="N1549" s="22"/>
      <c r="O1549" s="22"/>
    </row>
    <row r="1550" spans="14:15" ht="12.75">
      <c r="N1550" s="22"/>
      <c r="O1550" s="22"/>
    </row>
    <row r="1551" spans="14:15" ht="12.75">
      <c r="N1551" s="22"/>
      <c r="O1551" s="22"/>
    </row>
    <row r="1552" spans="14:15" ht="12.75">
      <c r="N1552" s="22"/>
      <c r="O1552" s="22"/>
    </row>
    <row r="1553" spans="14:15" ht="12.75">
      <c r="N1553" s="22"/>
      <c r="O1553" s="22"/>
    </row>
    <row r="1554" spans="14:15" ht="12.75">
      <c r="N1554" s="22"/>
      <c r="O1554" s="22"/>
    </row>
    <row r="1555" spans="14:15" ht="12.75">
      <c r="N1555" s="22"/>
      <c r="O1555" s="22"/>
    </row>
    <row r="1556" spans="14:15" ht="12.75">
      <c r="N1556" s="22"/>
      <c r="O1556" s="22"/>
    </row>
    <row r="1557" spans="14:15" ht="12.75">
      <c r="N1557" s="22"/>
      <c r="O1557" s="22"/>
    </row>
    <row r="1558" spans="14:15" ht="12.75">
      <c r="N1558" s="22"/>
      <c r="O1558" s="22"/>
    </row>
    <row r="1559" spans="14:15" ht="12.75">
      <c r="N1559" s="22"/>
      <c r="O1559" s="22"/>
    </row>
    <row r="1560" spans="14:15" ht="12.75">
      <c r="N1560" s="22"/>
      <c r="O1560" s="22"/>
    </row>
    <row r="1561" spans="14:15" ht="12.75">
      <c r="N1561" s="22"/>
      <c r="O1561" s="22"/>
    </row>
    <row r="1562" spans="14:15" ht="12.75">
      <c r="N1562" s="22"/>
      <c r="O1562" s="22"/>
    </row>
    <row r="1563" spans="14:15" ht="12.75">
      <c r="N1563" s="22"/>
      <c r="O1563" s="22"/>
    </row>
    <row r="1564" spans="14:15" ht="12.75">
      <c r="N1564" s="22"/>
      <c r="O1564" s="22"/>
    </row>
    <row r="1565" spans="14:15" ht="12.75">
      <c r="N1565" s="22"/>
      <c r="O1565" s="22"/>
    </row>
    <row r="1566" spans="14:15" ht="12.75">
      <c r="N1566" s="22"/>
      <c r="O1566" s="22"/>
    </row>
    <row r="1567" spans="14:15" ht="12.75">
      <c r="N1567" s="22"/>
      <c r="O1567" s="22"/>
    </row>
    <row r="1568" spans="14:15" ht="12.75">
      <c r="N1568" s="22"/>
      <c r="O1568" s="22"/>
    </row>
    <row r="1569" spans="14:15" ht="12.75">
      <c r="N1569" s="22"/>
      <c r="O1569" s="22"/>
    </row>
    <row r="1570" spans="14:15" ht="12.75">
      <c r="N1570" s="22"/>
      <c r="O1570" s="22"/>
    </row>
    <row r="1571" spans="14:15" ht="12.75">
      <c r="N1571" s="22"/>
      <c r="O1571" s="22"/>
    </row>
    <row r="1572" spans="14:15" ht="12.75">
      <c r="N1572" s="22"/>
      <c r="O1572" s="22"/>
    </row>
    <row r="1573" spans="14:15" ht="12.75">
      <c r="N1573" s="22"/>
      <c r="O1573" s="22"/>
    </row>
    <row r="1574" spans="14:15" ht="12.75">
      <c r="N1574" s="22"/>
      <c r="O1574" s="22"/>
    </row>
    <row r="1575" spans="14:15" ht="12.75">
      <c r="N1575" s="22"/>
      <c r="O1575" s="22"/>
    </row>
    <row r="1576" spans="14:15" ht="12.75">
      <c r="N1576" s="22"/>
      <c r="O1576" s="22"/>
    </row>
    <row r="1577" spans="14:15" ht="12.75">
      <c r="N1577" s="22"/>
      <c r="O1577" s="22"/>
    </row>
    <row r="1578" spans="14:15" ht="12.75">
      <c r="N1578" s="22"/>
      <c r="O1578" s="22"/>
    </row>
    <row r="1579" spans="14:15" ht="12.75">
      <c r="N1579" s="22"/>
      <c r="O1579" s="22"/>
    </row>
    <row r="1580" spans="14:15" ht="12.75">
      <c r="N1580" s="22"/>
      <c r="O1580" s="22"/>
    </row>
    <row r="1581" spans="14:15" ht="12.75">
      <c r="N1581" s="22"/>
      <c r="O1581" s="22"/>
    </row>
    <row r="1582" spans="14:15" ht="12.75">
      <c r="N1582" s="22"/>
      <c r="O1582" s="22"/>
    </row>
    <row r="1583" spans="14:15" ht="12.75">
      <c r="N1583" s="22"/>
      <c r="O1583" s="22"/>
    </row>
    <row r="1584" spans="14:15" ht="12.75">
      <c r="N1584" s="22"/>
      <c r="O1584" s="22"/>
    </row>
    <row r="1585" spans="14:15" ht="12.75">
      <c r="N1585" s="22"/>
      <c r="O1585" s="22"/>
    </row>
    <row r="1586" spans="14:15" ht="12.75">
      <c r="N1586" s="22"/>
      <c r="O1586" s="22"/>
    </row>
    <row r="1587" spans="14:15" ht="12.75">
      <c r="N1587" s="22"/>
      <c r="O1587" s="22"/>
    </row>
    <row r="1588" spans="14:15" ht="12.75">
      <c r="N1588" s="22"/>
      <c r="O1588" s="22"/>
    </row>
    <row r="1589" spans="14:15" ht="12.75">
      <c r="N1589" s="22"/>
      <c r="O1589" s="22"/>
    </row>
    <row r="1590" spans="14:15" ht="12.75">
      <c r="N1590" s="22"/>
      <c r="O1590" s="22"/>
    </row>
    <row r="1591" spans="14:15" ht="12.75">
      <c r="N1591" s="22"/>
      <c r="O1591" s="22"/>
    </row>
    <row r="1592" spans="14:15" ht="12.75">
      <c r="N1592" s="22"/>
      <c r="O1592" s="22"/>
    </row>
    <row r="1593" spans="14:15" ht="12.75">
      <c r="N1593" s="22"/>
      <c r="O1593" s="22"/>
    </row>
    <row r="1594" spans="14:15" ht="12.75">
      <c r="N1594" s="22"/>
      <c r="O1594" s="22"/>
    </row>
    <row r="1595" spans="14:15" ht="12.75">
      <c r="N1595" s="22"/>
      <c r="O1595" s="22"/>
    </row>
    <row r="1596" spans="14:15" ht="12.75">
      <c r="N1596" s="22"/>
      <c r="O1596" s="22"/>
    </row>
    <row r="1597" spans="14:15" ht="12.75">
      <c r="N1597" s="22"/>
      <c r="O1597" s="22"/>
    </row>
    <row r="1598" spans="14:15" ht="12.75">
      <c r="N1598" s="22"/>
      <c r="O1598" s="22"/>
    </row>
    <row r="1599" spans="14:15" ht="12.75">
      <c r="N1599" s="22"/>
      <c r="O1599" s="22"/>
    </row>
    <row r="1600" spans="14:15" ht="12.75">
      <c r="N1600" s="22"/>
      <c r="O1600" s="22"/>
    </row>
    <row r="1601" spans="14:15" ht="12.75">
      <c r="N1601" s="22"/>
      <c r="O1601" s="22"/>
    </row>
    <row r="1602" spans="14:15" ht="12.75">
      <c r="N1602" s="22"/>
      <c r="O1602" s="22"/>
    </row>
    <row r="1603" spans="14:15" ht="12.75">
      <c r="N1603" s="22"/>
      <c r="O1603" s="22"/>
    </row>
    <row r="1604" spans="14:15" ht="12.75">
      <c r="N1604" s="22"/>
      <c r="O1604" s="22"/>
    </row>
    <row r="1605" spans="14:15" ht="12.75">
      <c r="N1605" s="22"/>
      <c r="O1605" s="22"/>
    </row>
    <row r="1606" spans="14:15" ht="12.75">
      <c r="N1606" s="22"/>
      <c r="O1606" s="22"/>
    </row>
    <row r="1607" spans="14:15" ht="12.75">
      <c r="N1607" s="22"/>
      <c r="O1607" s="22"/>
    </row>
    <row r="1608" spans="14:15" ht="12.75">
      <c r="N1608" s="22"/>
      <c r="O1608" s="22"/>
    </row>
    <row r="1609" spans="14:15" ht="12.75">
      <c r="N1609" s="22"/>
      <c r="O1609" s="22"/>
    </row>
    <row r="1610" spans="14:15" ht="12.75">
      <c r="N1610" s="22"/>
      <c r="O1610" s="22"/>
    </row>
    <row r="1611" spans="14:15" ht="12.75">
      <c r="N1611" s="22"/>
      <c r="O1611" s="22"/>
    </row>
    <row r="1612" spans="14:15" ht="12.75">
      <c r="N1612" s="22"/>
      <c r="O1612" s="22"/>
    </row>
    <row r="1613" spans="14:15" ht="12.75">
      <c r="N1613" s="22"/>
      <c r="O1613" s="22"/>
    </row>
    <row r="1614" spans="14:15" ht="12.75">
      <c r="N1614" s="22"/>
      <c r="O1614" s="22"/>
    </row>
    <row r="1615" spans="14:15" ht="12.75">
      <c r="N1615" s="22"/>
      <c r="O1615" s="22"/>
    </row>
    <row r="1616" spans="14:15" ht="12.75">
      <c r="N1616" s="22"/>
      <c r="O1616" s="22"/>
    </row>
    <row r="1617" spans="14:15" ht="12.75">
      <c r="N1617" s="22"/>
      <c r="O1617" s="22"/>
    </row>
    <row r="1618" spans="14:15" ht="12.75">
      <c r="N1618" s="22"/>
      <c r="O1618" s="22"/>
    </row>
    <row r="1619" spans="14:15" ht="12.75">
      <c r="N1619" s="22"/>
      <c r="O1619" s="22"/>
    </row>
    <row r="1620" spans="14:15" ht="12.75">
      <c r="N1620" s="22"/>
      <c r="O1620" s="22"/>
    </row>
    <row r="1621" spans="14:15" ht="12.75">
      <c r="N1621" s="22"/>
      <c r="O1621" s="22"/>
    </row>
    <row r="1622" spans="14:15" ht="12.75">
      <c r="N1622" s="22"/>
      <c r="O1622" s="22"/>
    </row>
    <row r="1623" spans="14:15" ht="12.75">
      <c r="N1623" s="22"/>
      <c r="O1623" s="22"/>
    </row>
    <row r="1624" spans="14:15" ht="12.75">
      <c r="N1624" s="22"/>
      <c r="O1624" s="22"/>
    </row>
    <row r="1625" spans="14:15" ht="12.75">
      <c r="N1625" s="22"/>
      <c r="O1625" s="22"/>
    </row>
    <row r="1626" spans="14:15" ht="12.75">
      <c r="N1626" s="22"/>
      <c r="O1626" s="22"/>
    </row>
    <row r="1627" spans="14:15" ht="12.75">
      <c r="N1627" s="22"/>
      <c r="O1627" s="22"/>
    </row>
    <row r="1628" spans="14:15" ht="12.75">
      <c r="N1628" s="22"/>
      <c r="O1628" s="22"/>
    </row>
    <row r="1629" spans="14:15" ht="12.75">
      <c r="N1629" s="22"/>
      <c r="O1629" s="22"/>
    </row>
    <row r="1630" spans="14:15" ht="12.75">
      <c r="N1630" s="22"/>
      <c r="O1630" s="22"/>
    </row>
    <row r="1631" spans="14:15" ht="12.75">
      <c r="N1631" s="22"/>
      <c r="O1631" s="22"/>
    </row>
    <row r="1632" spans="14:15" ht="12.75">
      <c r="N1632" s="22"/>
      <c r="O1632" s="22"/>
    </row>
    <row r="1633" spans="14:15" ht="12.75">
      <c r="N1633" s="22"/>
      <c r="O1633" s="22"/>
    </row>
    <row r="1634" spans="14:15" ht="12.75">
      <c r="N1634" s="22"/>
      <c r="O1634" s="22"/>
    </row>
    <row r="1635" spans="14:15" ht="12.75">
      <c r="N1635" s="22"/>
      <c r="O1635" s="22"/>
    </row>
    <row r="1636" spans="14:15" ht="12.75">
      <c r="N1636" s="22"/>
      <c r="O1636" s="22"/>
    </row>
    <row r="1637" spans="14:15" ht="12.75">
      <c r="N1637" s="22"/>
      <c r="O1637" s="22"/>
    </row>
    <row r="1638" spans="14:15" ht="12.75">
      <c r="N1638" s="22"/>
      <c r="O1638" s="22"/>
    </row>
    <row r="1639" spans="14:15" ht="12.75">
      <c r="N1639" s="22"/>
      <c r="O1639" s="22"/>
    </row>
    <row r="1640" spans="14:15" ht="12.75">
      <c r="N1640" s="22"/>
      <c r="O1640" s="22"/>
    </row>
    <row r="1641" spans="14:15" ht="12.75">
      <c r="N1641" s="22"/>
      <c r="O1641" s="22"/>
    </row>
    <row r="1642" spans="14:15" ht="12.75">
      <c r="N1642" s="22"/>
      <c r="O1642" s="22"/>
    </row>
    <row r="1643" spans="14:15" ht="12.75">
      <c r="N1643" s="22"/>
      <c r="O1643" s="22"/>
    </row>
    <row r="1644" spans="14:15" ht="12.75">
      <c r="N1644" s="22"/>
      <c r="O1644" s="22"/>
    </row>
    <row r="1645" spans="14:15" ht="12.75">
      <c r="N1645" s="22"/>
      <c r="O1645" s="22"/>
    </row>
    <row r="1646" spans="14:15" ht="12.75">
      <c r="N1646" s="22"/>
      <c r="O1646" s="22"/>
    </row>
    <row r="1647" spans="14:15" ht="12.75">
      <c r="N1647" s="22"/>
      <c r="O1647" s="22"/>
    </row>
    <row r="1648" spans="14:15" ht="12.75">
      <c r="N1648" s="22"/>
      <c r="O1648" s="22"/>
    </row>
    <row r="1649" spans="14:15" ht="12.75">
      <c r="N1649" s="22"/>
      <c r="O1649" s="22"/>
    </row>
    <row r="1650" spans="14:15" ht="12.75">
      <c r="N1650" s="22"/>
      <c r="O1650" s="22"/>
    </row>
    <row r="1651" spans="14:15" ht="12.75">
      <c r="N1651" s="22"/>
      <c r="O1651" s="22"/>
    </row>
    <row r="1652" spans="14:15" ht="12.75">
      <c r="N1652" s="22"/>
      <c r="O1652" s="22"/>
    </row>
    <row r="1653" spans="14:15" ht="12.75">
      <c r="N1653" s="22"/>
      <c r="O1653" s="22"/>
    </row>
    <row r="1654" spans="14:15" ht="12.75">
      <c r="N1654" s="22"/>
      <c r="O1654" s="22"/>
    </row>
    <row r="1655" spans="14:15" ht="12.75">
      <c r="N1655" s="22"/>
      <c r="O1655" s="22"/>
    </row>
    <row r="1656" spans="14:15" ht="12.75">
      <c r="N1656" s="22"/>
      <c r="O1656" s="22"/>
    </row>
    <row r="1657" spans="14:15" ht="12.75">
      <c r="N1657" s="22"/>
      <c r="O1657" s="22"/>
    </row>
    <row r="1658" spans="14:15" ht="12.75">
      <c r="N1658" s="22"/>
      <c r="O1658" s="22"/>
    </row>
    <row r="1659" spans="14:15" ht="12.75">
      <c r="N1659" s="22"/>
      <c r="O1659" s="22"/>
    </row>
    <row r="1660" spans="14:15" ht="12.75">
      <c r="N1660" s="22"/>
      <c r="O1660" s="22"/>
    </row>
    <row r="1661" spans="14:15" ht="12.75">
      <c r="N1661" s="22"/>
      <c r="O1661" s="22"/>
    </row>
    <row r="1662" spans="14:15" ht="12.75">
      <c r="N1662" s="22"/>
      <c r="O1662" s="22"/>
    </row>
    <row r="1663" spans="14:15" ht="12.75">
      <c r="N1663" s="22"/>
      <c r="O1663" s="22"/>
    </row>
    <row r="1664" spans="14:15" ht="12.75">
      <c r="N1664" s="22"/>
      <c r="O1664" s="22"/>
    </row>
    <row r="1665" spans="14:15" ht="12.75">
      <c r="N1665" s="22"/>
      <c r="O1665" s="22"/>
    </row>
    <row r="1666" spans="14:15" ht="12.75">
      <c r="N1666" s="22"/>
      <c r="O1666" s="22"/>
    </row>
    <row r="1667" spans="14:15" ht="12.75">
      <c r="N1667" s="22"/>
      <c r="O1667" s="22"/>
    </row>
    <row r="1668" spans="14:15" ht="12.75">
      <c r="N1668" s="22"/>
      <c r="O1668" s="22"/>
    </row>
    <row r="1669" spans="14:15" ht="12.75">
      <c r="N1669" s="22"/>
      <c r="O1669" s="22"/>
    </row>
    <row r="1670" spans="14:15" ht="12.75">
      <c r="N1670" s="22"/>
      <c r="O1670" s="22"/>
    </row>
    <row r="1671" spans="14:15" ht="12.75">
      <c r="N1671" s="22"/>
      <c r="O1671" s="22"/>
    </row>
    <row r="1672" spans="14:15" ht="12.75">
      <c r="N1672" s="22"/>
      <c r="O1672" s="22"/>
    </row>
    <row r="1673" spans="14:15" ht="12.75">
      <c r="N1673" s="22"/>
      <c r="O1673" s="22"/>
    </row>
    <row r="1674" spans="14:15" ht="12.75">
      <c r="N1674" s="22"/>
      <c r="O1674" s="22"/>
    </row>
    <row r="1675" spans="14:15" ht="12.75">
      <c r="N1675" s="22"/>
      <c r="O1675" s="22"/>
    </row>
    <row r="1676" spans="14:15" ht="12.75">
      <c r="N1676" s="22"/>
      <c r="O1676" s="22"/>
    </row>
    <row r="1677" spans="14:15" ht="12.75">
      <c r="N1677" s="22"/>
      <c r="O1677" s="22"/>
    </row>
    <row r="1678" spans="14:15" ht="12.75">
      <c r="N1678" s="22"/>
      <c r="O1678" s="22"/>
    </row>
    <row r="1679" spans="14:15" ht="12.75">
      <c r="N1679" s="22"/>
      <c r="O1679" s="22"/>
    </row>
    <row r="1680" spans="14:15" ht="12.75">
      <c r="N1680" s="22"/>
      <c r="O1680" s="22"/>
    </row>
    <row r="1681" spans="14:15" ht="12.75">
      <c r="N1681" s="22"/>
      <c r="O1681" s="22"/>
    </row>
    <row r="1682" spans="14:15" ht="12.75">
      <c r="N1682" s="22"/>
      <c r="O1682" s="22"/>
    </row>
    <row r="1683" spans="14:15" ht="12.75">
      <c r="N1683" s="22"/>
      <c r="O1683" s="22"/>
    </row>
    <row r="1684" spans="14:15" ht="12.75">
      <c r="N1684" s="22"/>
      <c r="O1684" s="22"/>
    </row>
    <row r="1685" spans="14:15" ht="12.75">
      <c r="N1685" s="22"/>
      <c r="O1685" s="22"/>
    </row>
    <row r="1686" spans="14:15" ht="12.75">
      <c r="N1686" s="22"/>
      <c r="O1686" s="22"/>
    </row>
    <row r="1687" spans="14:15" ht="12.75">
      <c r="N1687" s="22"/>
      <c r="O1687" s="22"/>
    </row>
    <row r="1688" spans="14:15" ht="12.75">
      <c r="N1688" s="22"/>
      <c r="O1688" s="22"/>
    </row>
    <row r="1689" spans="14:15" ht="12.75">
      <c r="N1689" s="22"/>
      <c r="O1689" s="22"/>
    </row>
    <row r="1690" spans="14:15" ht="12.75">
      <c r="N1690" s="22"/>
      <c r="O1690" s="22"/>
    </row>
    <row r="1691" spans="14:15" ht="12.75">
      <c r="N1691" s="22"/>
      <c r="O1691" s="22"/>
    </row>
    <row r="1692" spans="14:15" ht="12.75">
      <c r="N1692" s="22"/>
      <c r="O1692" s="22"/>
    </row>
    <row r="1693" spans="14:15" ht="12.75">
      <c r="N1693" s="22"/>
      <c r="O1693" s="22"/>
    </row>
    <row r="1694" spans="14:15" ht="12.75">
      <c r="N1694" s="22"/>
      <c r="O1694" s="22"/>
    </row>
    <row r="1695" spans="14:15" ht="12.75">
      <c r="N1695" s="22"/>
      <c r="O1695" s="22"/>
    </row>
    <row r="1696" spans="14:15" ht="12.75">
      <c r="N1696" s="22"/>
      <c r="O1696" s="22"/>
    </row>
    <row r="1697" spans="14:15" ht="12.75">
      <c r="N1697" s="22"/>
      <c r="O1697" s="22"/>
    </row>
    <row r="1698" spans="14:15" ht="12.75">
      <c r="N1698" s="22"/>
      <c r="O1698" s="22"/>
    </row>
    <row r="1699" spans="14:15" ht="12.75">
      <c r="N1699" s="22"/>
      <c r="O1699" s="22"/>
    </row>
    <row r="1700" spans="14:15" ht="12.75">
      <c r="N1700" s="22"/>
      <c r="O1700" s="22"/>
    </row>
    <row r="1701" spans="14:15" ht="12.75">
      <c r="N1701" s="22"/>
      <c r="O1701" s="22"/>
    </row>
    <row r="1702" spans="14:15" ht="12.75">
      <c r="N1702" s="22"/>
      <c r="O1702" s="22"/>
    </row>
    <row r="1703" spans="14:15" ht="12.75">
      <c r="N1703" s="22"/>
      <c r="O1703" s="22"/>
    </row>
    <row r="1704" spans="14:15" ht="12.75">
      <c r="N1704" s="22"/>
      <c r="O1704" s="22"/>
    </row>
    <row r="1705" spans="14:15" ht="12.75">
      <c r="N1705" s="22"/>
      <c r="O1705" s="22"/>
    </row>
    <row r="1706" spans="14:15" ht="12.75">
      <c r="N1706" s="22"/>
      <c r="O1706" s="22"/>
    </row>
    <row r="1707" spans="14:15" ht="12.75">
      <c r="N1707" s="22"/>
      <c r="O1707" s="22"/>
    </row>
    <row r="1708" spans="14:15" ht="12.75">
      <c r="N1708" s="22"/>
      <c r="O1708" s="22"/>
    </row>
    <row r="1709" spans="14:15" ht="12.75">
      <c r="N1709" s="22"/>
      <c r="O1709" s="22"/>
    </row>
    <row r="1710" spans="14:15" ht="12.75">
      <c r="N1710" s="22"/>
      <c r="O1710" s="22"/>
    </row>
    <row r="1711" spans="14:15" ht="12.75">
      <c r="N1711" s="22"/>
      <c r="O1711" s="22"/>
    </row>
    <row r="1712" spans="14:15" ht="12.75">
      <c r="N1712" s="22"/>
      <c r="O1712" s="22"/>
    </row>
    <row r="1713" spans="14:15" ht="12.75">
      <c r="N1713" s="22"/>
      <c r="O1713" s="22"/>
    </row>
    <row r="1714" spans="14:15" ht="12.75">
      <c r="N1714" s="22"/>
      <c r="O1714" s="22"/>
    </row>
    <row r="1715" spans="14:15" ht="12.75">
      <c r="N1715" s="22"/>
      <c r="O1715" s="22"/>
    </row>
    <row r="1716" spans="14:15" ht="12.75">
      <c r="N1716" s="22"/>
      <c r="O1716" s="22"/>
    </row>
    <row r="1717" spans="14:15" ht="12.75">
      <c r="N1717" s="22"/>
      <c r="O1717" s="22"/>
    </row>
    <row r="1718" spans="14:15" ht="12.75">
      <c r="N1718" s="22"/>
      <c r="O1718" s="22"/>
    </row>
    <row r="1719" spans="14:15" ht="12.75">
      <c r="N1719" s="22"/>
      <c r="O1719" s="22"/>
    </row>
    <row r="1720" spans="14:15" ht="12.75">
      <c r="N1720" s="22"/>
      <c r="O1720" s="22"/>
    </row>
    <row r="1721" spans="14:15" ht="12.75">
      <c r="N1721" s="22"/>
      <c r="O1721" s="22"/>
    </row>
    <row r="1722" spans="14:15" ht="12.75">
      <c r="N1722" s="22"/>
      <c r="O1722" s="22"/>
    </row>
    <row r="1723" spans="14:15" ht="12.75">
      <c r="N1723" s="22"/>
      <c r="O1723" s="22"/>
    </row>
    <row r="1724" spans="14:15" ht="12.75">
      <c r="N1724" s="22"/>
      <c r="O1724" s="22"/>
    </row>
    <row r="1725" spans="14:15" ht="12.75">
      <c r="N1725" s="22"/>
      <c r="O1725" s="22"/>
    </row>
    <row r="1726" spans="14:15" ht="12.75">
      <c r="N1726" s="22"/>
      <c r="O1726" s="22"/>
    </row>
    <row r="1727" spans="14:15" ht="12.75">
      <c r="N1727" s="22"/>
      <c r="O1727" s="22"/>
    </row>
    <row r="1728" spans="14:15" ht="12.75">
      <c r="N1728" s="22"/>
      <c r="O1728" s="22"/>
    </row>
    <row r="1729" spans="14:15" ht="12.75">
      <c r="N1729" s="22"/>
      <c r="O1729" s="22"/>
    </row>
    <row r="1730" spans="14:15" ht="12.75">
      <c r="N1730" s="22"/>
      <c r="O1730" s="22"/>
    </row>
    <row r="1731" spans="14:15" ht="12.75">
      <c r="N1731" s="22"/>
      <c r="O1731" s="22"/>
    </row>
    <row r="1732" spans="14:15" ht="12.75">
      <c r="N1732" s="22"/>
      <c r="O1732" s="22"/>
    </row>
    <row r="1733" spans="14:15" ht="12.75">
      <c r="N1733" s="22"/>
      <c r="O1733" s="22"/>
    </row>
    <row r="1734" spans="14:15" ht="12.75">
      <c r="N1734" s="22"/>
      <c r="O1734" s="22"/>
    </row>
    <row r="1735" spans="14:15" ht="12.75">
      <c r="N1735" s="22"/>
      <c r="O1735" s="22"/>
    </row>
    <row r="1736" spans="14:15" ht="12.75">
      <c r="N1736" s="22"/>
      <c r="O1736" s="22"/>
    </row>
    <row r="1737" spans="14:15" ht="12.75">
      <c r="N1737" s="22"/>
      <c r="O1737" s="22"/>
    </row>
    <row r="1738" spans="14:15" ht="12.75">
      <c r="N1738" s="22"/>
      <c r="O1738" s="22"/>
    </row>
    <row r="1739" spans="14:15" ht="12.75">
      <c r="N1739" s="22"/>
      <c r="O1739" s="22"/>
    </row>
    <row r="1740" spans="14:15" ht="12.75">
      <c r="N1740" s="22"/>
      <c r="O1740" s="22"/>
    </row>
    <row r="1741" spans="14:15" ht="12.75">
      <c r="N1741" s="22"/>
      <c r="O1741" s="22"/>
    </row>
    <row r="1742" spans="14:15" ht="12.75">
      <c r="N1742" s="22"/>
      <c r="O1742" s="22"/>
    </row>
    <row r="1743" spans="14:15" ht="12.75">
      <c r="N1743" s="22"/>
      <c r="O1743" s="22"/>
    </row>
    <row r="1744" spans="14:15" ht="12.75">
      <c r="N1744" s="22"/>
      <c r="O1744" s="22"/>
    </row>
    <row r="1745" spans="14:15" ht="12.75">
      <c r="N1745" s="22"/>
      <c r="O1745" s="22"/>
    </row>
    <row r="1746" spans="14:15" ht="12.75">
      <c r="N1746" s="22"/>
      <c r="O1746" s="22"/>
    </row>
    <row r="1747" spans="14:15" ht="12.75">
      <c r="N1747" s="22"/>
      <c r="O1747" s="22"/>
    </row>
    <row r="1748" spans="14:15" ht="12.75">
      <c r="N1748" s="22"/>
      <c r="O1748" s="22"/>
    </row>
    <row r="1749" spans="14:15" ht="12.75">
      <c r="N1749" s="22"/>
      <c r="O1749" s="22"/>
    </row>
    <row r="1750" spans="14:15" ht="12.75">
      <c r="N1750" s="22"/>
      <c r="O1750" s="22"/>
    </row>
    <row r="1751" spans="14:15" ht="12.75">
      <c r="N1751" s="22"/>
      <c r="O1751" s="22"/>
    </row>
    <row r="1752" spans="14:15" ht="12.75">
      <c r="N1752" s="22"/>
      <c r="O1752" s="22"/>
    </row>
    <row r="1753" spans="14:15" ht="12.75">
      <c r="N1753" s="22"/>
      <c r="O1753" s="22"/>
    </row>
    <row r="1754" spans="14:15" ht="12.75">
      <c r="N1754" s="22"/>
      <c r="O1754" s="22"/>
    </row>
    <row r="1755" spans="14:15" ht="12.75">
      <c r="N1755" s="22"/>
      <c r="O1755" s="22"/>
    </row>
    <row r="1756" spans="14:15" ht="12.75">
      <c r="N1756" s="22"/>
      <c r="O1756" s="22"/>
    </row>
    <row r="1757" spans="14:15" ht="12.75">
      <c r="N1757" s="22"/>
      <c r="O1757" s="22"/>
    </row>
    <row r="1758" spans="14:15" ht="12.75">
      <c r="N1758" s="22"/>
      <c r="O1758" s="22"/>
    </row>
    <row r="1759" spans="14:15" ht="12.75">
      <c r="N1759" s="22"/>
      <c r="O1759" s="22"/>
    </row>
    <row r="1760" spans="14:15" ht="12.75">
      <c r="N1760" s="22"/>
      <c r="O1760" s="22"/>
    </row>
    <row r="1761" spans="14:15" ht="12.75">
      <c r="N1761" s="22"/>
      <c r="O1761" s="22"/>
    </row>
    <row r="1762" spans="14:15" ht="12.75">
      <c r="N1762" s="22"/>
      <c r="O1762" s="22"/>
    </row>
    <row r="1763" spans="14:15" ht="12.75">
      <c r="N1763" s="22"/>
      <c r="O1763" s="22"/>
    </row>
    <row r="1764" spans="14:15" ht="12.75">
      <c r="N1764" s="22"/>
      <c r="O1764" s="22"/>
    </row>
    <row r="1765" spans="14:15" ht="12.75">
      <c r="N1765" s="22"/>
      <c r="O1765" s="22"/>
    </row>
    <row r="1766" spans="14:15" ht="12.75">
      <c r="N1766" s="22"/>
      <c r="O1766" s="22"/>
    </row>
    <row r="1767" spans="14:15" ht="12.75">
      <c r="N1767" s="22"/>
      <c r="O1767" s="22"/>
    </row>
    <row r="1768" spans="14:15" ht="12.75">
      <c r="N1768" s="22"/>
      <c r="O1768" s="22"/>
    </row>
    <row r="1769" spans="14:15" ht="12.75">
      <c r="N1769" s="22"/>
      <c r="O1769" s="22"/>
    </row>
    <row r="1770" spans="14:15" ht="12.75">
      <c r="N1770" s="22"/>
      <c r="O1770" s="22"/>
    </row>
    <row r="1771" spans="14:15" ht="12.75">
      <c r="N1771" s="22"/>
      <c r="O1771" s="22"/>
    </row>
    <row r="1772" spans="14:15" ht="12.75">
      <c r="N1772" s="22"/>
      <c r="O1772" s="22"/>
    </row>
    <row r="1773" spans="14:15" ht="12.75">
      <c r="N1773" s="22"/>
      <c r="O1773" s="22"/>
    </row>
    <row r="1774" spans="14:15" ht="12.75">
      <c r="N1774" s="22"/>
      <c r="O1774" s="22"/>
    </row>
    <row r="1775" spans="14:15" ht="12.75">
      <c r="N1775" s="22"/>
      <c r="O1775" s="22"/>
    </row>
    <row r="1776" spans="14:15" ht="12.75">
      <c r="N1776" s="22"/>
      <c r="O1776" s="22"/>
    </row>
    <row r="1777" spans="14:15" ht="12.75">
      <c r="N1777" s="22"/>
      <c r="O1777" s="22"/>
    </row>
    <row r="1778" spans="14:15" ht="12.75">
      <c r="N1778" s="22"/>
      <c r="O1778" s="22"/>
    </row>
    <row r="1779" spans="14:15" ht="12.75">
      <c r="N1779" s="22"/>
      <c r="O1779" s="22"/>
    </row>
    <row r="1780" spans="14:15" ht="12.75">
      <c r="N1780" s="22"/>
      <c r="O1780" s="22"/>
    </row>
    <row r="1781" spans="14:15" ht="12.75">
      <c r="N1781" s="22"/>
      <c r="O1781" s="22"/>
    </row>
    <row r="1782" spans="14:15" ht="12.75">
      <c r="N1782" s="22"/>
      <c r="O1782" s="22"/>
    </row>
    <row r="1783" spans="14:15" ht="12.75">
      <c r="N1783" s="22"/>
      <c r="O1783" s="22"/>
    </row>
    <row r="1784" spans="14:15" ht="12.75">
      <c r="N1784" s="22"/>
      <c r="O1784" s="22"/>
    </row>
    <row r="1785" spans="14:15" ht="12.75">
      <c r="N1785" s="22"/>
      <c r="O1785" s="22"/>
    </row>
    <row r="1786" spans="14:15" ht="12.75">
      <c r="N1786" s="22"/>
      <c r="O1786" s="22"/>
    </row>
    <row r="1787" spans="14:15" ht="12.75">
      <c r="N1787" s="22"/>
      <c r="O1787" s="22"/>
    </row>
    <row r="1788" spans="14:15" ht="12.75">
      <c r="N1788" s="22"/>
      <c r="O1788" s="22"/>
    </row>
    <row r="1789" spans="14:15" ht="12.75">
      <c r="N1789" s="22"/>
      <c r="O1789" s="22"/>
    </row>
    <row r="1790" spans="14:15" ht="12.75">
      <c r="N1790" s="22"/>
      <c r="O1790" s="22"/>
    </row>
    <row r="1791" spans="14:15" ht="12.75">
      <c r="N1791" s="22"/>
      <c r="O1791" s="22"/>
    </row>
    <row r="1792" spans="14:15" ht="12.75">
      <c r="N1792" s="22"/>
      <c r="O1792" s="22"/>
    </row>
    <row r="1793" spans="14:15" ht="12.75">
      <c r="N1793" s="22"/>
      <c r="O1793" s="22"/>
    </row>
    <row r="1794" spans="14:15" ht="12.75">
      <c r="N1794" s="22"/>
      <c r="O1794" s="22"/>
    </row>
    <row r="1795" spans="14:15" ht="12.75">
      <c r="N1795" s="22"/>
      <c r="O1795" s="22"/>
    </row>
    <row r="1796" spans="14:15" ht="12.75">
      <c r="N1796" s="22"/>
      <c r="O1796" s="22"/>
    </row>
    <row r="1797" spans="14:15" ht="12.75">
      <c r="N1797" s="22"/>
      <c r="O1797" s="22"/>
    </row>
    <row r="1798" spans="14:15" ht="12.75">
      <c r="N1798" s="22"/>
      <c r="O1798" s="22"/>
    </row>
    <row r="1799" spans="14:15" ht="12.75">
      <c r="N1799" s="22"/>
      <c r="O1799" s="22"/>
    </row>
    <row r="1800" spans="14:15" ht="12.75">
      <c r="N1800" s="22"/>
      <c r="O1800" s="22"/>
    </row>
    <row r="1801" spans="14:15" ht="12.75">
      <c r="N1801" s="22"/>
      <c r="O1801" s="22"/>
    </row>
    <row r="1802" spans="14:15" ht="12.75">
      <c r="N1802" s="22"/>
      <c r="O1802" s="22"/>
    </row>
    <row r="1803" spans="14:15" ht="12.75">
      <c r="N1803" s="22"/>
      <c r="O1803" s="22"/>
    </row>
    <row r="1804" spans="14:15" ht="12.75">
      <c r="N1804" s="22"/>
      <c r="O1804" s="22"/>
    </row>
    <row r="1805" spans="14:15" ht="12.75">
      <c r="N1805" s="22"/>
      <c r="O1805" s="22"/>
    </row>
    <row r="1806" spans="14:15" ht="12.75">
      <c r="N1806" s="22"/>
      <c r="O1806" s="22"/>
    </row>
    <row r="1807" spans="14:15" ht="12.75">
      <c r="N1807" s="22"/>
      <c r="O1807" s="22"/>
    </row>
    <row r="1808" spans="14:15" ht="12.75">
      <c r="N1808" s="22"/>
      <c r="O1808" s="22"/>
    </row>
    <row r="1809" spans="14:15" ht="12.75">
      <c r="N1809" s="22"/>
      <c r="O1809" s="22"/>
    </row>
    <row r="1810" spans="14:15" ht="12.75">
      <c r="N1810" s="22"/>
      <c r="O1810" s="22"/>
    </row>
    <row r="1811" spans="14:15" ht="12.75">
      <c r="N1811" s="22"/>
      <c r="O1811" s="22"/>
    </row>
    <row r="1812" spans="14:15" ht="12.75">
      <c r="N1812" s="22"/>
      <c r="O1812" s="22"/>
    </row>
    <row r="1813" spans="14:15" ht="12.75">
      <c r="N1813" s="22"/>
      <c r="O1813" s="22"/>
    </row>
  </sheetData>
  <sheetProtection sheet="1" objects="1" scenarios="1"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DK65"/>
  <sheetViews>
    <sheetView workbookViewId="0" topLeftCell="A1">
      <selection activeCell="A1" sqref="A1"/>
    </sheetView>
  </sheetViews>
  <sheetFormatPr defaultColWidth="9.140625" defaultRowHeight="12.75"/>
  <cols>
    <col min="1" max="3" width="9.140625" style="7" customWidth="1"/>
    <col min="4" max="6" width="9.421875" style="7" bestFit="1" customWidth="1"/>
    <col min="7" max="7" width="10.8515625" style="7" bestFit="1" customWidth="1"/>
    <col min="8" max="16" width="9.140625" style="7" customWidth="1"/>
    <col min="17" max="17" width="12.57421875" style="7" bestFit="1" customWidth="1"/>
    <col min="18" max="19" width="9.28125" style="7" bestFit="1" customWidth="1"/>
    <col min="20" max="20" width="9.57421875" style="7" bestFit="1" customWidth="1"/>
    <col min="21" max="16384" width="9.140625" style="7" customWidth="1"/>
  </cols>
  <sheetData>
    <row r="1" spans="1:35" ht="12.75">
      <c r="A1" s="6" t="s">
        <v>7</v>
      </c>
      <c r="AC1"/>
      <c r="AD1"/>
      <c r="AE1"/>
      <c r="AF1"/>
      <c r="AG1"/>
      <c r="AH1"/>
      <c r="AI1"/>
    </row>
    <row r="2" spans="29:35" ht="12.75">
      <c r="AC2"/>
      <c r="AD2"/>
      <c r="AE2"/>
      <c r="AF2"/>
      <c r="AG2"/>
      <c r="AH2"/>
      <c r="AI2"/>
    </row>
    <row r="3" spans="2:35" ht="12.75">
      <c r="B3" s="8" t="s">
        <v>45</v>
      </c>
      <c r="E3" s="9" t="s">
        <v>11</v>
      </c>
      <c r="J3" s="8" t="s">
        <v>27</v>
      </c>
      <c r="AC3"/>
      <c r="AD3"/>
      <c r="AE3"/>
      <c r="AF3"/>
      <c r="AG3"/>
      <c r="AH3"/>
      <c r="AI3"/>
    </row>
    <row r="4" spans="2:35" ht="12.75">
      <c r="B4" s="10" t="s">
        <v>14</v>
      </c>
      <c r="C4" s="7">
        <f>COUNT(Input!L15:Input!T15)</f>
        <v>4</v>
      </c>
      <c r="E4" s="10" t="s">
        <v>34</v>
      </c>
      <c r="F4" s="7">
        <f>IF(ctoc1="","",MATCH(ctoc1,Ycat,0)+11)</f>
        <v>12</v>
      </c>
      <c r="G4" s="10" t="s">
        <v>80</v>
      </c>
      <c r="H4" s="7">
        <f>IF(Vtoc1="","",MATCH(Vtoc1,RHV,0)+15)</f>
        <v>16</v>
      </c>
      <c r="J4" s="10" t="s">
        <v>47</v>
      </c>
      <c r="K4" s="7">
        <f>IF(VtoP="","",MATCH(VtoP,RHV,0)+15)</f>
        <v>17</v>
      </c>
      <c r="AC4"/>
      <c r="AD4"/>
      <c r="AE4"/>
      <c r="AF4"/>
      <c r="AG4"/>
      <c r="AH4"/>
      <c r="AI4"/>
    </row>
    <row r="5" spans="2:35" ht="12.75">
      <c r="B5" s="10" t="s">
        <v>33</v>
      </c>
      <c r="C5" s="7">
        <f>COUNT(Input!L16:Input!L65)</f>
        <v>3</v>
      </c>
      <c r="E5" s="10" t="s">
        <v>60</v>
      </c>
      <c r="F5" s="7">
        <f>IF(ctoc2="","",MATCH(ctoc2,Ycat,0)+11)</f>
        <v>15</v>
      </c>
      <c r="G5" s="10" t="s">
        <v>81</v>
      </c>
      <c r="H5" s="7">
        <f>IF(Vtoc2="","",MATCH(Vtoc2,RHV,0)+15)</f>
        <v>17</v>
      </c>
      <c r="J5" s="10" t="s">
        <v>28</v>
      </c>
      <c r="K5" s="7">
        <f>(EndV-StartV)/(NmP-1)</f>
        <v>2.111111111111111</v>
      </c>
      <c r="AC5"/>
      <c r="AD5"/>
      <c r="AE5"/>
      <c r="AF5"/>
      <c r="AG5"/>
      <c r="AH5"/>
      <c r="AI5"/>
    </row>
    <row r="6" spans="5:35" ht="12.75">
      <c r="E6" s="10" t="s">
        <v>61</v>
      </c>
      <c r="F6" s="7">
        <f>IF(ctoc3="","",MATCH(ctoc3,Ycat,0)+11)</f>
        <v>13</v>
      </c>
      <c r="G6" s="10" t="s">
        <v>82</v>
      </c>
      <c r="H6" s="7">
        <f>IF(vtoc3="","",MATCH(vtoc3,RHV,0)+15)</f>
        <v>18</v>
      </c>
      <c r="J6" s="10" t="s">
        <v>50</v>
      </c>
      <c r="K6" s="7">
        <f ca="1">IF(VtoP="","",INDIRECT(ADDRESS(VPth,9,1,,"Input")))</f>
        <v>13.09496</v>
      </c>
      <c r="AC6"/>
      <c r="AD6"/>
      <c r="AE6"/>
      <c r="AF6"/>
      <c r="AG6"/>
      <c r="AH6"/>
      <c r="AI6"/>
    </row>
    <row r="7" spans="5:35" ht="12.75">
      <c r="E7" s="10" t="s">
        <v>35</v>
      </c>
      <c r="F7" s="7">
        <f>IF(ctoc4="","",MATCH(ctoc4,Ycat,0)+11)</f>
        <v>14</v>
      </c>
      <c r="AC7"/>
      <c r="AD7"/>
      <c r="AE7"/>
      <c r="AF7"/>
      <c r="AG7"/>
      <c r="AH7"/>
      <c r="AI7"/>
    </row>
    <row r="8" spans="5:35" ht="12.75">
      <c r="E8" s="10" t="s">
        <v>36</v>
      </c>
      <c r="F8" s="7">
        <f>IF(ctoc5="","",MATCH(ctoc5,Ycat,0)+11)</f>
        <v>13</v>
      </c>
      <c r="G8" s="10" t="s">
        <v>85</v>
      </c>
      <c r="H8" s="7">
        <f ca="1">IF(Vtoc1="","",INDIRECT(ADDRESS(Vc1th,9,1,,"Input")))</f>
        <v>1</v>
      </c>
      <c r="AC8"/>
      <c r="AD8"/>
      <c r="AE8"/>
      <c r="AF8"/>
      <c r="AG8"/>
      <c r="AH8"/>
      <c r="AI8"/>
    </row>
    <row r="9" spans="5:35" ht="12.75">
      <c r="E9" s="10" t="s">
        <v>37</v>
      </c>
      <c r="F9" s="7">
        <f>IF(ctoc6="","",MATCH(ctoc6,Ycat,0)+11)</f>
        <v>15</v>
      </c>
      <c r="G9" s="10" t="s">
        <v>86</v>
      </c>
      <c r="H9" s="7">
        <f ca="1">IF(Vtoc2="","",INDIRECT(ADDRESS(Vc2th,9,1,,"Input")))</f>
        <v>13.09496</v>
      </c>
      <c r="AC9"/>
      <c r="AD9"/>
      <c r="AE9"/>
      <c r="AF9"/>
      <c r="AG9"/>
      <c r="AH9"/>
      <c r="AI9"/>
    </row>
    <row r="10" spans="5:35" ht="12.75">
      <c r="E10" s="10" t="s">
        <v>38</v>
      </c>
      <c r="F10" s="7">
        <f>IF(ctoc7="","",MATCH(ctoc7,Ycat,0)+11)</f>
        <v>15</v>
      </c>
      <c r="G10" s="10" t="s">
        <v>87</v>
      </c>
      <c r="H10" s="7">
        <f ca="1">IF(vtoc3="","",INDIRECT(ADDRESS(Vc3th,9,1,,"Input")))</f>
        <v>20.50148</v>
      </c>
      <c r="AC10"/>
      <c r="AD10"/>
      <c r="AE10"/>
      <c r="AF10"/>
      <c r="AG10"/>
      <c r="AH10"/>
      <c r="AI10"/>
    </row>
    <row r="11" spans="5:35" ht="12.75">
      <c r="E11" s="10" t="s">
        <v>39</v>
      </c>
      <c r="F11" s="7">
        <f>IF(ctoc8="","",MATCH(ctoc8,Ycat,0)+11)</f>
        <v>14</v>
      </c>
      <c r="AC11"/>
      <c r="AD11"/>
      <c r="AE11"/>
      <c r="AF11"/>
      <c r="AG11"/>
      <c r="AH11"/>
      <c r="AI11"/>
    </row>
    <row r="12" spans="29:35" ht="12.75">
      <c r="AC12"/>
      <c r="AD12"/>
      <c r="AE12"/>
      <c r="AF12"/>
      <c r="AG12"/>
      <c r="AH12"/>
      <c r="AI12"/>
    </row>
    <row r="13" spans="16:35" ht="12.75">
      <c r="P13" s="11">
        <v>0</v>
      </c>
      <c r="Q13" s="11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1">
        <v>7</v>
      </c>
      <c r="X13" s="11">
        <v>8</v>
      </c>
      <c r="Y13" s="11">
        <v>9</v>
      </c>
      <c r="Z13" s="11" t="s">
        <v>91</v>
      </c>
      <c r="AC13"/>
      <c r="AD13"/>
      <c r="AE13"/>
      <c r="AF13"/>
      <c r="AG13"/>
      <c r="AH13"/>
      <c r="AI13"/>
    </row>
    <row r="14" spans="1:115" ht="11.25">
      <c r="A14" s="12"/>
      <c r="B14" s="11"/>
      <c r="C14" s="11">
        <v>0</v>
      </c>
      <c r="D14" s="11">
        <v>1</v>
      </c>
      <c r="E14" s="11">
        <v>2</v>
      </c>
      <c r="F14" s="11">
        <v>3</v>
      </c>
      <c r="G14" s="11">
        <v>4</v>
      </c>
      <c r="H14" s="11">
        <v>5</v>
      </c>
      <c r="I14" s="11">
        <v>6</v>
      </c>
      <c r="J14" s="11">
        <v>7</v>
      </c>
      <c r="K14" s="11">
        <v>8</v>
      </c>
      <c r="L14" s="11">
        <v>9</v>
      </c>
      <c r="M14" s="13"/>
      <c r="P14" s="14" t="s">
        <v>46</v>
      </c>
      <c r="Q14" s="7">
        <f ca="1">IF(VtoP="","",INDIRECT(ADDRESS(VPth,Q13+11,1,,"Input")))</f>
        <v>-0.0994247</v>
      </c>
      <c r="R14" s="7">
        <f ca="1">IF(OR(R13&gt;NmE,VtoP=""),"",INDIRECT(ADDRESS(VPth,R13+11,1,,"Input")))</f>
        <v>0.0938154</v>
      </c>
      <c r="S14" s="7">
        <f aca="true" ca="1" t="shared" si="0" ref="S14:Y14">IF(OR(S13&gt;NmE,VtoP=""),"",INDIRECT(ADDRESS(VPth,S13+11,1,,"Input")))</f>
        <v>0.3531577</v>
      </c>
      <c r="T14" s="7">
        <f ca="1" t="shared" si="0"/>
        <v>0.7788519</v>
      </c>
      <c r="U14" s="7">
        <f ca="1" t="shared" si="0"/>
      </c>
      <c r="V14" s="7">
        <f ca="1" t="shared" si="0"/>
      </c>
      <c r="W14" s="7">
        <f ca="1" t="shared" si="0"/>
      </c>
      <c r="X14" s="7">
        <f ca="1" t="shared" si="0"/>
      </c>
      <c r="Y14" s="7">
        <f ca="1" t="shared" si="0"/>
      </c>
      <c r="AC14" s="11" t="s">
        <v>94</v>
      </c>
      <c r="AD14" s="11">
        <v>1</v>
      </c>
      <c r="AE14" s="11">
        <v>2</v>
      </c>
      <c r="AF14" s="11">
        <v>3</v>
      </c>
      <c r="AG14" s="11">
        <v>4</v>
      </c>
      <c r="AH14" s="11">
        <v>5</v>
      </c>
      <c r="AI14" s="11">
        <v>6</v>
      </c>
      <c r="AJ14" s="11">
        <v>7</v>
      </c>
      <c r="AK14" s="11">
        <v>8</v>
      </c>
      <c r="AL14" s="11">
        <v>9</v>
      </c>
      <c r="AN14" s="11" t="s">
        <v>94</v>
      </c>
      <c r="AO14" s="11">
        <v>1</v>
      </c>
      <c r="AP14" s="11">
        <v>2</v>
      </c>
      <c r="AQ14" s="11">
        <v>3</v>
      </c>
      <c r="AR14" s="11">
        <v>4</v>
      </c>
      <c r="AS14" s="11">
        <v>5</v>
      </c>
      <c r="AT14" s="11">
        <v>6</v>
      </c>
      <c r="AU14" s="11">
        <v>7</v>
      </c>
      <c r="AV14" s="11">
        <v>8</v>
      </c>
      <c r="AW14" s="11">
        <v>9</v>
      </c>
      <c r="AY14" s="11" t="s">
        <v>94</v>
      </c>
      <c r="AZ14" s="11">
        <v>1</v>
      </c>
      <c r="BA14" s="11">
        <v>2</v>
      </c>
      <c r="BB14" s="11">
        <v>3</v>
      </c>
      <c r="BC14" s="11">
        <v>4</v>
      </c>
      <c r="BD14" s="11">
        <v>5</v>
      </c>
      <c r="BE14" s="11">
        <v>6</v>
      </c>
      <c r="BF14" s="11">
        <v>7</v>
      </c>
      <c r="BG14" s="11">
        <v>8</v>
      </c>
      <c r="BH14" s="11">
        <v>9</v>
      </c>
      <c r="BJ14" s="11" t="s">
        <v>94</v>
      </c>
      <c r="BK14" s="11">
        <v>1</v>
      </c>
      <c r="BL14" s="11">
        <v>2</v>
      </c>
      <c r="BM14" s="11">
        <v>3</v>
      </c>
      <c r="BN14" s="11">
        <v>4</v>
      </c>
      <c r="BO14" s="11">
        <v>5</v>
      </c>
      <c r="BP14" s="11">
        <v>6</v>
      </c>
      <c r="BQ14" s="11">
        <v>7</v>
      </c>
      <c r="BR14" s="11">
        <v>8</v>
      </c>
      <c r="BS14" s="11">
        <v>9</v>
      </c>
      <c r="BU14" s="11" t="s">
        <v>94</v>
      </c>
      <c r="BV14" s="11">
        <v>1</v>
      </c>
      <c r="BW14" s="11">
        <v>2</v>
      </c>
      <c r="BX14" s="11">
        <v>3</v>
      </c>
      <c r="BY14" s="11">
        <v>4</v>
      </c>
      <c r="BZ14" s="11">
        <v>5</v>
      </c>
      <c r="CA14" s="11">
        <v>6</v>
      </c>
      <c r="CB14" s="11">
        <v>7</v>
      </c>
      <c r="CC14" s="11">
        <v>8</v>
      </c>
      <c r="CD14" s="11">
        <v>9</v>
      </c>
      <c r="CF14" s="11" t="s">
        <v>94</v>
      </c>
      <c r="CG14" s="11">
        <v>1</v>
      </c>
      <c r="CH14" s="11">
        <v>2</v>
      </c>
      <c r="CI14" s="11">
        <v>3</v>
      </c>
      <c r="CJ14" s="11">
        <v>4</v>
      </c>
      <c r="CK14" s="11">
        <v>5</v>
      </c>
      <c r="CL14" s="11">
        <v>6</v>
      </c>
      <c r="CM14" s="11">
        <v>7</v>
      </c>
      <c r="CN14" s="11">
        <v>8</v>
      </c>
      <c r="CO14" s="11">
        <v>9</v>
      </c>
      <c r="CQ14" s="11" t="s">
        <v>94</v>
      </c>
      <c r="CR14" s="11">
        <v>1</v>
      </c>
      <c r="CS14" s="11">
        <v>2</v>
      </c>
      <c r="CT14" s="11">
        <v>3</v>
      </c>
      <c r="CU14" s="11">
        <v>4</v>
      </c>
      <c r="CV14" s="11">
        <v>5</v>
      </c>
      <c r="CW14" s="11">
        <v>6</v>
      </c>
      <c r="CX14" s="11">
        <v>7</v>
      </c>
      <c r="CY14" s="11">
        <v>8</v>
      </c>
      <c r="CZ14" s="11">
        <v>9</v>
      </c>
      <c r="DB14" s="11" t="s">
        <v>94</v>
      </c>
      <c r="DC14" s="11">
        <v>1</v>
      </c>
      <c r="DD14" s="11">
        <v>2</v>
      </c>
      <c r="DE14" s="11">
        <v>3</v>
      </c>
      <c r="DF14" s="11">
        <v>4</v>
      </c>
      <c r="DG14" s="11">
        <v>5</v>
      </c>
      <c r="DH14" s="11">
        <v>6</v>
      </c>
      <c r="DI14" s="11">
        <v>7</v>
      </c>
      <c r="DJ14" s="11">
        <v>8</v>
      </c>
      <c r="DK14" s="11">
        <v>9</v>
      </c>
    </row>
    <row r="15" spans="1:106" ht="11.25">
      <c r="A15" s="12"/>
      <c r="B15" s="12" t="s">
        <v>13</v>
      </c>
      <c r="C15" s="12"/>
      <c r="D15" s="12">
        <f>con1</f>
        <v>0.7412336</v>
      </c>
      <c r="E15" s="12">
        <f>IF(con2="","",con2)</f>
        <v>-1.091353</v>
      </c>
      <c r="F15" s="12">
        <f>IF(con3="","",con3)</f>
        <v>-6.238608</v>
      </c>
      <c r="G15" s="12">
        <f>IF(con4="","",con4)</f>
        <v>-11.51833</v>
      </c>
      <c r="H15" s="12">
        <f>IF(con5="","",con5)</f>
      </c>
      <c r="I15" s="12">
        <f>IF(con6="","",con6)</f>
      </c>
      <c r="J15" s="12">
        <f>IF(con7="","",con7)</f>
      </c>
      <c r="K15" s="12">
        <f>IF(con8="","",con8)</f>
      </c>
      <c r="L15" s="12">
        <f>IF(con9="","",con9)</f>
      </c>
      <c r="M15" s="15" t="s">
        <v>40</v>
      </c>
      <c r="O15" s="16" t="s">
        <v>90</v>
      </c>
      <c r="P15" s="7">
        <f>StartV</f>
        <v>3</v>
      </c>
      <c r="Q15" s="7">
        <f aca="true" t="shared" si="1" ref="Q15:Q34">IF(OR(Q$14="",$P15=""),"",EXP(D$38-Q$14*(PbaseV-$P15)))</f>
        <v>5.90769115382506</v>
      </c>
      <c r="R15" s="7">
        <f aca="true" t="shared" si="2" ref="R15:R34">IF(OR(R$14="",$P15=""),"",EXP(E$38-R$14*(PbaseV-$P15)))</f>
        <v>1.258594562750629</v>
      </c>
      <c r="S15" s="7">
        <f aca="true" t="shared" si="3" ref="S15:S34">IF(OR(S$14="",$P15=""),"",EXP(F$38-S$14*(PbaseV-$P15)))</f>
        <v>0.055106767508581754</v>
      </c>
      <c r="T15" s="7">
        <f aca="true" t="shared" si="4" ref="T15:T34">IF(OR(T$14="",$P15=""),"",EXP(G$38-T$14*(PbaseV-$P15)))</f>
        <v>0.0012600900571201569</v>
      </c>
      <c r="U15" s="7">
        <f aca="true" t="shared" si="5" ref="U15:U34">IF(OR(U$14="",$P15=""),"",EXP(H$38-U$14*(PbaseV-$P15)))</f>
      </c>
      <c r="V15" s="7">
        <f aca="true" t="shared" si="6" ref="V15:V34">IF(OR(V$14="",$P15=""),"",EXP(I$38-V$14*(PbaseV-$P15)))</f>
      </c>
      <c r="W15" s="7">
        <f aca="true" t="shared" si="7" ref="W15:W34">IF(OR(W$14="",$P15=""),"",EXP(J$38-W$14*(PbaseV-$P15)))</f>
      </c>
      <c r="X15" s="7">
        <f aca="true" t="shared" si="8" ref="X15:X34">IF(OR(X$14="",$P15=""),"",EXP(K$38-X$14*(PbaseV-$P15)))</f>
      </c>
      <c r="Y15" s="7">
        <f aca="true" t="shared" si="9" ref="Y15:Y34">IF(OR(Y$14="",$P15=""),"",EXP(L$38-Y$14*(PbaseV-$P15)))</f>
      </c>
      <c r="Z15" s="7">
        <f>SUM(Q15:Y15)</f>
        <v>7.2226525741413905</v>
      </c>
      <c r="AC15" s="14" t="s">
        <v>95</v>
      </c>
      <c r="AN15" s="14" t="s">
        <v>96</v>
      </c>
      <c r="AY15" s="14" t="s">
        <v>97</v>
      </c>
      <c r="BJ15" s="14" t="s">
        <v>98</v>
      </c>
      <c r="BU15" s="16" t="s">
        <v>99</v>
      </c>
      <c r="CF15" s="16" t="s">
        <v>100</v>
      </c>
      <c r="CQ15" s="16" t="s">
        <v>101</v>
      </c>
      <c r="DB15" s="16" t="s">
        <v>102</v>
      </c>
    </row>
    <row r="16" spans="1:115" ht="11.25">
      <c r="A16" s="12"/>
      <c r="B16" s="12" t="s">
        <v>70</v>
      </c>
      <c r="C16" s="17" t="s">
        <v>71</v>
      </c>
      <c r="D16" s="12">
        <f>EXP(D38)</f>
        <v>2.1653168848151654</v>
      </c>
      <c r="E16" s="12">
        <f>IF(E38="","",EXP(E38))</f>
        <v>3.244815144923005</v>
      </c>
      <c r="F16" s="12">
        <f aca="true" t="shared" si="10" ref="F16:L16">IF(F38="","",EXP(F38))</f>
        <v>1.947662834090555</v>
      </c>
      <c r="G16" s="12">
        <f t="shared" si="10"/>
        <v>3.2736536645019005</v>
      </c>
      <c r="H16" s="12">
        <f t="shared" si="10"/>
      </c>
      <c r="I16" s="12">
        <f t="shared" si="10"/>
      </c>
      <c r="J16" s="12">
        <f t="shared" si="10"/>
      </c>
      <c r="K16" s="12">
        <f t="shared" si="10"/>
      </c>
      <c r="L16" s="12">
        <f t="shared" si="10"/>
      </c>
      <c r="M16" s="12">
        <f>SUM(D16:L16)</f>
        <v>10.631448528330626</v>
      </c>
      <c r="P16" s="7">
        <f>IF(OR(VtoP="",P15&gt;=EndV),"",P15+Dis)</f>
        <v>5.111111111111111</v>
      </c>
      <c r="Q16" s="12">
        <f t="shared" si="1"/>
        <v>4.789176607815849</v>
      </c>
      <c r="R16" s="12">
        <f t="shared" si="2"/>
        <v>1.5342634141141924</v>
      </c>
      <c r="S16" s="12">
        <f t="shared" si="3"/>
        <v>0.11614363702920795</v>
      </c>
      <c r="T16" s="12">
        <f t="shared" si="4"/>
        <v>0.006523598183265784</v>
      </c>
      <c r="U16" s="12">
        <f t="shared" si="5"/>
      </c>
      <c r="V16" s="12">
        <f t="shared" si="6"/>
      </c>
      <c r="W16" s="12">
        <f t="shared" si="7"/>
      </c>
      <c r="X16" s="12">
        <f t="shared" si="8"/>
      </c>
      <c r="Y16" s="12">
        <f t="shared" si="9"/>
      </c>
      <c r="Z16" s="7">
        <f aca="true" t="shared" si="11" ref="Z16:Z34">IF(P16="","",SUM(Q16:Y16))</f>
        <v>6.446107257142516</v>
      </c>
      <c r="AB16" s="12"/>
      <c r="AC16" s="19">
        <f>SUM(AD16:AL16)</f>
        <v>3.6119288755908223</v>
      </c>
      <c r="AD16" s="7">
        <f>EXP($D$38-Bval*e1b)</f>
        <v>0.6288029904108519</v>
      </c>
      <c r="AE16" s="7">
        <f>IF(AE$14&gt;NmE,"",EXP($E$38-Bval*e2b))</f>
        <v>2.0232695305554986</v>
      </c>
      <c r="AF16" s="7">
        <f>IF(AF$14&gt;NmE,"",EXP($F$38-Bval*e3b))</f>
        <v>0.4046410533539402</v>
      </c>
      <c r="AG16" s="7">
        <f>IF(AG$14&gt;NmE,"",EXP($G$38-Bval*e4b))</f>
        <v>0.5552153012705316</v>
      </c>
      <c r="AH16" s="7">
        <f>IF(AH$14&gt;NmE,"",EXP($H$38-Bval*e5b))</f>
      </c>
      <c r="AI16" s="7">
        <f>IF(AI$14&gt;NmE,"",EXP($I$38-Bval*e6b))</f>
      </c>
      <c r="AJ16" s="7">
        <f>IF(AJ$14&gt;NmE,"",EXP($J$38-Bval*e7b))</f>
      </c>
      <c r="AK16" s="7">
        <f>IF(AK$14&gt;NmE,"",EXP($K$38-Bval*e8b))</f>
      </c>
      <c r="AL16" s="7">
        <f>IF(AL$14&gt;NmE,"",EXP($L$38-Bval*e9b))</f>
      </c>
      <c r="AN16" s="19">
        <f>SUM(AO16:AW16)</f>
        <v>10.631448528330626</v>
      </c>
      <c r="AO16" s="7">
        <f>EXP($D$38-(Bval-1)*e1b)</f>
        <v>2.1653168848151654</v>
      </c>
      <c r="AP16" s="7">
        <f>IF(AP$14&gt;NmE,"",EXP($E$38-(Bval-1)*e2b))</f>
        <v>3.244815144923005</v>
      </c>
      <c r="AQ16" s="7">
        <f>IF(AQ$14&gt;NmE,"",EXP($F$38-(Bval-1)*e3b))</f>
        <v>1.947662834090555</v>
      </c>
      <c r="AR16" s="7">
        <f>IF(AR$14&gt;NmE,"",EXP($G$38-(Bval-1)*e4b))</f>
        <v>3.2736536645019005</v>
      </c>
      <c r="AS16" s="7">
        <f>IF(AS$14&gt;NmE,"",EXP($H$38-(Bval-1)*e5b))</f>
      </c>
      <c r="AT16" s="7">
        <f>IF(AT$14&gt;NmE,"",EXP($I$38-(Bval-1)*e6b))</f>
      </c>
      <c r="AU16" s="7">
        <f>IF(AU$14&gt;NmE,"",EXP($J$38-(Bval-1)*e7b))</f>
      </c>
      <c r="AV16" s="7">
        <f>IF(AV$14&gt;NmE,"",EXP($K$38-(Bval-1)*e8b))</f>
      </c>
      <c r="AW16" s="7">
        <f>IF(AW$14&gt;NmE,"",EXP($L$38-(Bval-1)*e9b))</f>
      </c>
      <c r="AY16" s="7">
        <f>SUM(AZ16:BH16)</f>
        <v>3.6119288755908223</v>
      </c>
      <c r="AZ16" s="7">
        <f>EXP($D$38-(Bval-min)*e1b)</f>
        <v>0.6288029904108519</v>
      </c>
      <c r="BA16" s="7">
        <f>IF(BA$14&gt;NmE,"",EXP($E$38-(Bval-min)*e2b))</f>
        <v>2.0232695305554986</v>
      </c>
      <c r="BB16" s="7">
        <f>IF(BB$14&gt;NmE,"",EXP($F$38-(Bval-min)*e3b))</f>
        <v>0.4046410533539402</v>
      </c>
      <c r="BC16" s="7">
        <f>IF(BC$14&gt;NmE,"",EXP($G$38-(Bval-min)*e4b))</f>
        <v>0.5552153012705316</v>
      </c>
      <c r="BD16" s="7">
        <f>IF(BD$14&gt;NmE,"",EXP($H$38-(Bval-min)*e5b))</f>
      </c>
      <c r="BE16" s="7">
        <f>IF(BE$14&gt;NmE,"",EXP($I$38-(Bval-min)*e6b))</f>
      </c>
      <c r="BF16" s="7">
        <f>IF(BF$14&gt;NmE,"",EXP($J$38-(Bval-min)*e7b))</f>
      </c>
      <c r="BG16" s="7">
        <f>IF(BG$14&gt;NmE,"",EXP($K$38-(Bval-min)*e8b))</f>
      </c>
      <c r="BH16" s="7">
        <f>IF(BH$14&gt;NmE,"",EXP($L$38-(Bval-min)*e9b))</f>
      </c>
      <c r="BJ16" s="7">
        <f>SUM(BK16:BS16)</f>
        <v>10.631448528330626</v>
      </c>
      <c r="BK16" s="7">
        <f>EXP($D$38-(Bval-max)*e1b)</f>
        <v>2.1653168848151654</v>
      </c>
      <c r="BL16" s="7">
        <f>IF(BL$14&gt;NmE,"",EXP($E$38-(Bval-max)*e2b))</f>
        <v>3.244815144923005</v>
      </c>
      <c r="BM16" s="7">
        <f>IF(BM$14&gt;NmE,"",EXP($F$38-(Bval-max)*e3b))</f>
        <v>1.947662834090555</v>
      </c>
      <c r="BN16" s="7">
        <f>IF(BN$14&gt;NmE,"",EXP($G$38-(Bval-max)*e4b))</f>
        <v>3.2736536645019005</v>
      </c>
      <c r="BO16" s="7">
        <f>IF(BO$14&gt;NmE,"",EXP($H$38-(Bval-max)*e5b))</f>
      </c>
      <c r="BP16" s="7">
        <f>IF(BP$14&gt;NmE,"",EXP($I$38-(Bval-max)*e6b))</f>
      </c>
      <c r="BQ16" s="7">
        <f>IF(BQ$14&gt;NmE,"",EXP($J$38-(Bval-max)*e7b))</f>
      </c>
      <c r="BR16" s="7">
        <f>IF(BR$14&gt;NmE,"",EXP($K$38-(Bval-max)*e8b))</f>
      </c>
      <c r="BS16" s="7">
        <f>IF(BS$14&gt;NmE,"",EXP($L$38-(Bval-max)*e9b))</f>
      </c>
      <c r="BU16" s="7">
        <f>SUM(BV16:CD16)</f>
        <v>5.459054696735171</v>
      </c>
      <c r="BV16" s="7">
        <f>EXP($D$38-(Bval-mn+0.5)*e1b)</f>
        <v>1.0529317569842513</v>
      </c>
      <c r="BW16" s="7">
        <f>IF(BW$14&gt;NmE,"",EXP($E$38-(Bval-mn+0.5)*e2b))</f>
        <v>2.4636436060893785</v>
      </c>
      <c r="BX16" s="7">
        <f>IF(BX$14&gt;NmE,"",EXP($F$38-(Bval-mn+0.5)*e3b))</f>
        <v>0.7790947235793423</v>
      </c>
      <c r="BY16" s="7">
        <f>IF(BY$14&gt;NmE,"",EXP($G$38-(Bval-mn+0.5)*e4b))</f>
        <v>1.1633846100821985</v>
      </c>
      <c r="BZ16" s="7">
        <f>IF(BZ$14&gt;NmE,"",EXP($H$38-(Bval-mn+0.5)*e5b))</f>
      </c>
      <c r="CA16" s="7">
        <f>IF(CA$14&gt;NmE,"",EXP($I$38-(Bval-mn+0.5)*e6b))</f>
      </c>
      <c r="CB16" s="7">
        <f>IF(CB$14&gt;NmE,"",EXP($J$38-(Bval-mn+0.5)*e7b))</f>
      </c>
      <c r="CC16" s="7">
        <f>IF(CC$14&gt;NmE,"",EXP($K$38-(Bval-mn+0.5)*e8b))</f>
      </c>
      <c r="CD16" s="7">
        <f>IF(CD$14&gt;NmE,"",EXP($L$38-(Bval-mn+0.5)*e9b))</f>
      </c>
      <c r="CF16" s="7">
        <f>SUM(CG16:CO16)</f>
        <v>18.18644995323062</v>
      </c>
      <c r="CG16" s="7">
        <f>EXP($D$38-(Bval-mn-0.5)*e1b)</f>
        <v>3.6258270821301597</v>
      </c>
      <c r="CH16" s="7">
        <f>IF(CH$14&gt;NmE,"",EXP($E$38-(Bval-mn-0.5)*e2b))</f>
        <v>3.951064336216605</v>
      </c>
      <c r="CI16" s="7">
        <f>IF(CI$14&gt;NmE,"",EXP($F$38-(Bval-mn-0.5)*e3b))</f>
        <v>3.7500244346790366</v>
      </c>
      <c r="CJ16" s="7">
        <f>IF(CJ$14&gt;NmE,"",EXP($G$38-(Bval-mn-0.5)*e4b))</f>
        <v>6.859534100204817</v>
      </c>
      <c r="CK16" s="7">
        <f>IF(CK$14&gt;NmE,"",EXP($H$38-(Bval-mn-0.5)*e5b))</f>
      </c>
      <c r="CL16" s="7">
        <f>IF(CL$14&gt;NmE,"",EXP($I$38-(Bval-mn-0.5)*e6b))</f>
      </c>
      <c r="CM16" s="7">
        <f>IF(CM$14&gt;NmE,"",EXP($J$38-(Bval-mn-0.5)*e7b))</f>
      </c>
      <c r="CN16" s="7">
        <f>IF(CN$14&gt;NmE,"",EXP($K$38-(Bval-mn-0.5)*e8b))</f>
      </c>
      <c r="CO16" s="7">
        <f>IF(CO$14&gt;NmE,"",EXP($L$38-(Bval-mn-0.5)*e9b))</f>
      </c>
      <c r="CQ16" s="7">
        <f>SUM(CR16:CZ16)</f>
        <v>8.155905794472822</v>
      </c>
      <c r="CR16" s="7">
        <f>EXP($D$38-(Bval-mn+0.5*sd)*e1b)</f>
        <v>1.6469606117309343</v>
      </c>
      <c r="CS16" s="7">
        <f>IF(CS$14&gt;NmE,"",EXP($E$38-(Bval-mn+0.5*sd)*e2b))</f>
        <v>2.9227645971249894</v>
      </c>
      <c r="CT16" s="7">
        <f>IF(CT$14&gt;NmE,"",EXP($F$38-(Bval-mn+0.5*sd)*e3b))</f>
        <v>1.3755953423360259</v>
      </c>
      <c r="CU16" s="7">
        <f>IF(CU$14&gt;NmE,"",EXP($G$38-(Bval-mn+0.5*sd)*e4b))</f>
        <v>2.210585243280873</v>
      </c>
      <c r="CV16" s="7">
        <f>IF(CV$14&gt;NmE,"",EXP($H$38-(Bval-mn+0.5*sd)*e5b))</f>
      </c>
      <c r="CW16" s="7">
        <f>IF(CW$14&gt;NmE,"",EXP($I$38-(Bval-mn+0.5*sd)*e6b))</f>
      </c>
      <c r="CX16" s="7">
        <f>IF(CX$14&gt;NmE,"",EXP($J$38-(Bval-mn+0.5*sd)*e7b))</f>
      </c>
      <c r="CY16" s="7">
        <f>IF(CY$14&gt;NmE,"",EXP($K$38-(Bval-mn+0.5*sd)*e8b))</f>
      </c>
      <c r="CZ16" s="7">
        <f>IF(CZ$14&gt;NmE,"",EXP($L$38-(Bval-mn+0.5*sd)*e9b))</f>
      </c>
      <c r="DB16" s="7">
        <f>SUM(DC16:DK16)</f>
        <v>11.382397190296102</v>
      </c>
      <c r="DC16" s="7">
        <f>EXP($D$38-(Bval-mn-0.5*sd)*e1b)</f>
        <v>2.318056942537312</v>
      </c>
      <c r="DD16" s="7">
        <f>IF(DD$14&gt;NmE,"",EXP($E$38-(Bval-mn-0.5*sd)*e2b))</f>
        <v>3.3304134033725425</v>
      </c>
      <c r="DE16" s="7">
        <f>IF(DE$14&gt;NmE,"",EXP($F$38-(Bval-mn-0.5*sd)*e3b))</f>
        <v>2.1238980392231936</v>
      </c>
      <c r="DF16" s="7">
        <f>IF(DF$14&gt;NmE,"",EXP($G$38-(Bval-mn-0.5*sd)*e4b))</f>
        <v>3.610028805163053</v>
      </c>
      <c r="DG16" s="7">
        <f>IF(DG$14&gt;NmE,"",EXP($H$38-(Bval-mn-0.5*sd)*e5b))</f>
      </c>
      <c r="DH16" s="7">
        <f>IF(DH$14&gt;NmE,"",EXP($I$38-(Bval-mn-0.5*sd)*e6b))</f>
      </c>
      <c r="DI16" s="7">
        <f>IF(DI$14&gt;NmE,"",EXP($J$38-(Bval-mn-0.5*sd)*e7b))</f>
      </c>
      <c r="DJ16" s="7">
        <f>IF(DJ$14&gt;NmE,"",EXP($K$38-(Bval-mn-0.5*sd)*e8b))</f>
      </c>
      <c r="DK16" s="7">
        <f>IF(DK$14&gt;NmE,"",EXP($L$38-(Bval-mn-0.5*sd)*e9b))</f>
      </c>
    </row>
    <row r="17" spans="1:115" ht="11.25">
      <c r="A17" s="12"/>
      <c r="B17" s="12"/>
      <c r="C17" s="17" t="s">
        <v>1</v>
      </c>
      <c r="D17" s="12">
        <f>EXP(SUMPRODUCT(mn,e1b)+D$15)</f>
        <v>1.9539059547758157</v>
      </c>
      <c r="E17" s="12">
        <f>IF(E$15="","",EXP(SUMPRODUCT(mn,e2b)+E$15))</f>
        <v>3.1199382027802747</v>
      </c>
      <c r="F17" s="12">
        <f>IF(F$15="","",EXP(SUMPRODUCT(mn,e3b)+F$15))</f>
        <v>1.709275943302322</v>
      </c>
      <c r="G17" s="12">
        <f>IF(G$15="","",EXP(SUMPRODUCT(mn,e4b)+G$15))</f>
        <v>2.824938301009837</v>
      </c>
      <c r="H17" s="12">
        <f>IF(H$15="","",EXP(SUMPRODUCT(mn,e5b)+H$15))</f>
      </c>
      <c r="I17" s="12">
        <f>IF(I$15="","",EXP(SUMPRODUCT(mn,e6b)+I$15))</f>
      </c>
      <c r="J17" s="12">
        <f>IF(J$15="","",EXP(SUMPRODUCT(mn,e7b)+J$15))</f>
      </c>
      <c r="K17" s="12">
        <f>IF(K$15="","",EXP(SUMPRODUCT(mn,e8b)+K$15))</f>
      </c>
      <c r="L17" s="12">
        <f>IF(L$15="","",EXP(SUMPRODUCT(mn,e9b)+L$15))</f>
      </c>
      <c r="M17" s="12">
        <f>SUM(D17:L17)</f>
        <v>9.608058401868249</v>
      </c>
      <c r="P17" s="12">
        <f aca="true" t="shared" si="12" ref="P17:P34">IF(OR(VtoP="",P16&gt;=EndV),"",P16+Dis)</f>
        <v>7.222222222222221</v>
      </c>
      <c r="Q17" s="12">
        <f t="shared" si="1"/>
        <v>3.8824325753725257</v>
      </c>
      <c r="R17" s="12">
        <f t="shared" si="2"/>
        <v>1.8703117696176954</v>
      </c>
      <c r="S17" s="12">
        <f t="shared" si="3"/>
        <v>0.24478562311374397</v>
      </c>
      <c r="T17" s="12">
        <f t="shared" si="4"/>
        <v>0.03377324740897511</v>
      </c>
      <c r="U17" s="12">
        <f t="shared" si="5"/>
      </c>
      <c r="V17" s="12">
        <f t="shared" si="6"/>
      </c>
      <c r="W17" s="12">
        <f t="shared" si="7"/>
      </c>
      <c r="X17" s="12">
        <f t="shared" si="8"/>
      </c>
      <c r="Y17" s="12">
        <f t="shared" si="9"/>
      </c>
      <c r="Z17" s="12">
        <f t="shared" si="11"/>
        <v>6.03130321551294</v>
      </c>
      <c r="AB17" s="12"/>
      <c r="AC17" s="7">
        <f aca="true" t="shared" si="13" ref="AC17:AC48">IF(RHV="","",SUM(AD17:AL17))</f>
        <v>8.929872094784217</v>
      </c>
      <c r="AD17" s="7">
        <f aca="true" t="shared" si="14" ref="AD17:AD48">IF(RHV="","",EXP($D$38-Bval*e1b))</f>
        <v>7.96079753260762</v>
      </c>
      <c r="AE17" s="7">
        <f aca="true" t="shared" si="15" ref="AE17:AE48">IF(OR(RHV="",AE$14&gt;NmE),"",EXP($E$38-Bval*e2b))</f>
        <v>0.9498506398334982</v>
      </c>
      <c r="AF17" s="7">
        <f aca="true" t="shared" si="16" ref="AF17:AF48">IF(OR(RHV="",AF$14&gt;NmE),"",EXP($F$38-Bval*e3b))</f>
        <v>0.0191021220488289</v>
      </c>
      <c r="AG17" s="7">
        <f aca="true" t="shared" si="17" ref="AG17:AG48">IF(OR(RHV="",AG$14&gt;NmE),"",EXP($G$38-Bval*e4b))</f>
        <v>0.00012180029427164953</v>
      </c>
      <c r="AH17" s="7">
        <f aca="true" t="shared" si="18" ref="AH17:AH48">IF(OR(RHV="",AH$14&gt;NmE),"",EXP($H$38-Bval*e5b))</f>
      </c>
      <c r="AI17" s="7">
        <f aca="true" t="shared" si="19" ref="AI17:AI48">IF(OR(RHV="",AI$14&gt;NmE),"",EXP($I$38-Bval*e6b))</f>
      </c>
      <c r="AJ17" s="7">
        <f aca="true" t="shared" si="20" ref="AJ17:AJ48">IF(OR(RHV="",AJ$14&gt;NmE),"",EXP($J$38-Bval*e7b))</f>
      </c>
      <c r="AK17" s="7">
        <f aca="true" t="shared" si="21" ref="AK17:AK48">IF(OR(RHV="",AK$14&gt;NmE),"",EXP($K$38-Bval*e8b))</f>
      </c>
      <c r="AL17" s="7">
        <f aca="true" t="shared" si="22" ref="AL17:AL48">IF(OR(RHV="",AL$14&gt;NmE),"",EXP($L$38-Bval*e9b))</f>
      </c>
      <c r="AN17" s="7">
        <f aca="true" t="shared" si="23" ref="AN17:AN48">IF(RHV="","",SUM(AO17:AW17))</f>
        <v>8.278106097427854</v>
      </c>
      <c r="AO17" s="7">
        <f aca="true" t="shared" si="24" ref="AO17:AO48">IF(RHV="","",EXP($D$38-(Bval-1)*e1b))</f>
        <v>7.207372693938835</v>
      </c>
      <c r="AP17" s="7">
        <f aca="true" t="shared" si="25" ref="AP17:AP48">IF(OR(RHV="",AP$14&gt;NmE),"",EXP($E$38-(Bval-1)*e2b))</f>
        <v>1.0432750711995895</v>
      </c>
      <c r="AQ17" s="7">
        <f aca="true" t="shared" si="26" ref="AQ17:AQ48">IF(OR(RHV="",AQ$14&gt;NmE),"",EXP($F$38-(Bval-1)*e3b))</f>
        <v>0.027192933205217637</v>
      </c>
      <c r="AR17" s="7">
        <f aca="true" t="shared" si="27" ref="AR17:AR48">IF(OR(RHV="",AR$14&gt;NmE),"",EXP($G$38-(Bval-1)*e4b))</f>
        <v>0.00026539908421185313</v>
      </c>
      <c r="AS17" s="7">
        <f aca="true" t="shared" si="28" ref="AS17:AS48">IF(OR(RHV="",AS$14&gt;NmE),"",EXP($H$38-(Bval-1)*e5b))</f>
      </c>
      <c r="AT17" s="7">
        <f aca="true" t="shared" si="29" ref="AT17:AT48">IF(OR(RHV="",AT$14&gt;NmE),"",EXP($I$38-(Bval-1)*e6b))</f>
      </c>
      <c r="AU17" s="7">
        <f aca="true" t="shared" si="30" ref="AU17:AU48">IF(OR(RHV="",AU$14&gt;NmE),"",EXP($J$38-(Bval-1)*e7b))</f>
      </c>
      <c r="AV17" s="7">
        <f aca="true" t="shared" si="31" ref="AV17:AV48">IF(OR(RHV="",AV$14&gt;NmE),"",EXP($K$38-(Bval-1)*e8b))</f>
      </c>
      <c r="AW17" s="7">
        <f aca="true" t="shared" si="32" ref="AW17:AW48">IF(OR(RHV="",AW$14&gt;NmE),"",EXP($L$38-(Bval-1)*e9b))</f>
      </c>
      <c r="AY17" s="7">
        <f aca="true" t="shared" si="33" ref="AY17:AY48">IF(RHV="","",SUM(AZ17:BH17))</f>
        <v>7.2226525741413905</v>
      </c>
      <c r="AZ17" s="7">
        <f aca="true" t="shared" si="34" ref="AZ17:AZ48">IF(RHV="","",EXP($D$38-(Bval-min)*e1b))</f>
        <v>5.90769115382506</v>
      </c>
      <c r="BA17" s="7">
        <f aca="true" t="shared" si="35" ref="BA17:BA48">IF(OR(RHV="",BA$14&gt;NmE),"",EXP($E$38-(Bval-min)*e2b))</f>
        <v>1.258594562750629</v>
      </c>
      <c r="BB17" s="7">
        <f aca="true" t="shared" si="36" ref="BB17:BB48">IF(OR(RHV="",BB$14&gt;NmE),"",EXP($F$38-(Bval-min)*e3b))</f>
        <v>0.055106767508581754</v>
      </c>
      <c r="BC17" s="7">
        <f aca="true" t="shared" si="37" ref="BC17:BC48">IF(OR(RHV="",BC$14&gt;NmE),"",EXP($G$38-(Bval-min)*e4b))</f>
        <v>0.0012600900571201569</v>
      </c>
      <c r="BD17" s="7">
        <f aca="true" t="shared" si="38" ref="BD17:BD48">IF(OR(RHV="",BD$14&gt;NmE),"",EXP($H$38-(Bval-min)*e5b))</f>
      </c>
      <c r="BE17" s="7">
        <f aca="true" t="shared" si="39" ref="BE17:BE48">IF(OR(RHV="",BE$14&gt;NmE),"",EXP($I$38-(Bval-min)*e6b))</f>
      </c>
      <c r="BF17" s="7">
        <f aca="true" t="shared" si="40" ref="BF17:BF48">IF(OR(RHV="",BF$14&gt;NmE),"",EXP($J$38-(Bval-min)*e7b))</f>
      </c>
      <c r="BG17" s="7">
        <f aca="true" t="shared" si="41" ref="BG17:BG48">IF(OR(RHV="",BG$14&gt;NmE),"",EXP($K$38-(Bval-min)*e8b))</f>
      </c>
      <c r="BH17" s="7">
        <f aca="true" t="shared" si="42" ref="BH17:BH48">IF(OR(RHV="",BH$14&gt;NmE),"",EXP($L$38-(Bval-min)*e9b))</f>
      </c>
      <c r="BJ17" s="7">
        <f aca="true" t="shared" si="43" ref="BJ17:BJ48">IF(RHV="","",SUM(BK17:BS17))</f>
        <v>738.6441697161247</v>
      </c>
      <c r="BK17" s="7">
        <f aca="true" t="shared" si="44" ref="BK17:BK48">IF(RHV="","",EXP($D$38-(Bval-max)*e1b))</f>
        <v>1.0898446764048506</v>
      </c>
      <c r="BL17" s="7">
        <f aca="true" t="shared" si="45" ref="BL17:BL48">IF(OR(RHV="",BL$14&gt;NmE),"",EXP($E$38-(Bval-max)*e2b))</f>
        <v>6.201911010284738</v>
      </c>
      <c r="BM17" s="7">
        <f aca="true" t="shared" si="46" ref="BM17:BM48">IF(OR(RHV="",BM$14&gt;NmE),"",EXP($F$38-(Bval-max)*e3b))</f>
        <v>22.313640028122826</v>
      </c>
      <c r="BN17" s="7">
        <f aca="true" t="shared" si="47" ref="BN17:BN48">IF(OR(RHV="",BN$14&gt;NmE),"",EXP($G$38-(Bval-max)*e4b))</f>
        <v>709.0387740013123</v>
      </c>
      <c r="BO17" s="7">
        <f aca="true" t="shared" si="48" ref="BO17:BO48">IF(OR(RHV="",BO$14&gt;NmE),"",EXP($H$38-(Bval-max)*e5b))</f>
      </c>
      <c r="BP17" s="7">
        <f aca="true" t="shared" si="49" ref="BP17:BP48">IF(OR(RHV="",BP$14&gt;NmE),"",EXP($I$38-(Bval-max)*e6b))</f>
      </c>
      <c r="BQ17" s="7">
        <f aca="true" t="shared" si="50" ref="BQ17:BQ48">IF(OR(RHV="",BQ$14&gt;NmE),"",EXP($J$38-(Bval-max)*e7b))</f>
      </c>
      <c r="BR17" s="7">
        <f aca="true" t="shared" si="51" ref="BR17:BR48">IF(OR(RHV="",BR$14&gt;NmE),"",EXP($K$38-(Bval-max)*e8b))</f>
      </c>
      <c r="BS17" s="7">
        <f aca="true" t="shared" si="52" ref="BS17:BS48">IF(OR(RHV="",BS$14&gt;NmE),"",EXP($L$38-(Bval-max)*e9b))</f>
      </c>
      <c r="BU17" s="7">
        <f aca="true" t="shared" si="53" ref="BU17:BU48">IF(RHV="","",SUM(BV17:CD17))</f>
        <v>9.221925684573744</v>
      </c>
      <c r="BV17" s="7">
        <f aca="true" t="shared" si="54" ref="BV17:BV48">IF(RHV="","",EXP($D$38-(Bval-mn+0.5)*e1b))</f>
        <v>2.275680361888264</v>
      </c>
      <c r="BW17" s="7">
        <f aca="true" t="shared" si="55" ref="BW17:BW48">IF(OR(RHV="",BW$14&gt;NmE),"",EXP($E$38-(Bval-mn+0.5)*e2b))</f>
        <v>3.0961229962459877</v>
      </c>
      <c r="BX17" s="7">
        <f aca="true" t="shared" si="56" ref="BX17:BX48">IF(OR(RHV="",BX$14&gt;NmE),"",EXP($F$38-(Bval-mn+0.5)*e3b))</f>
        <v>1.6323998899345966</v>
      </c>
      <c r="BY17" s="7">
        <f aca="true" t="shared" si="57" ref="BY17:BY48">IF(OR(RHV="",BY$14&gt;NmE),"",EXP($G$38-(Bval-mn+0.5)*e4b))</f>
        <v>2.2177224365048964</v>
      </c>
      <c r="BZ17" s="7">
        <f aca="true" t="shared" si="58" ref="BZ17:BZ48">IF(OR(RHV="",BZ$14&gt;NmE),"",EXP($H$38-(Bval-mn+0.5)*e5b))</f>
      </c>
      <c r="CA17" s="7">
        <f aca="true" t="shared" si="59" ref="CA17:CA48">IF(OR(RHV="",CA$14&gt;NmE),"",EXP($I$38-(Bval-mn+0.5)*e6b))</f>
      </c>
      <c r="CB17" s="7">
        <f aca="true" t="shared" si="60" ref="CB17:CB48">IF(OR(RHV="",CB$14&gt;NmE),"",EXP($J$38-(Bval-mn+0.5)*e7b))</f>
      </c>
      <c r="CC17" s="7">
        <f aca="true" t="shared" si="61" ref="CC17:CC48">IF(OR(RHV="",CC$14&gt;NmE),"",EXP($K$38-(Bval-mn+0.5)*e8b))</f>
      </c>
      <c r="CD17" s="7">
        <f aca="true" t="shared" si="62" ref="CD17:CD48">IF(OR(RHV="",CD$14&gt;NmE),"",EXP($L$38-(Bval-mn+0.5)*e9b))</f>
      </c>
      <c r="CF17" s="7">
        <f aca="true" t="shared" si="63" ref="CF17:CF48">IF(RHV="","",SUM(CG17:CO17))</f>
        <v>12.6171147906332</v>
      </c>
      <c r="CG17" s="7">
        <f aca="true" t="shared" si="64" ref="CG17:CG48">IF(RHV="","",EXP($D$38-(Bval-mn-0.5)*e1b))</f>
        <v>2.0603056959085637</v>
      </c>
      <c r="CH17" s="7">
        <f aca="true" t="shared" si="65" ref="CH17:CH48">IF(OR(RHV="",CH$14&gt;NmE),"",EXP($E$38-(Bval-mn-0.5)*e2b))</f>
        <v>3.400648274467061</v>
      </c>
      <c r="CI17" s="7">
        <f aca="true" t="shared" si="66" ref="CI17:CI48">IF(OR(RHV="",CI$14&gt;NmE),"",EXP($F$38-(Bval-mn-0.5)*e3b))</f>
        <v>2.323812038145652</v>
      </c>
      <c r="CJ17" s="7">
        <f aca="true" t="shared" si="67" ref="CJ17:CJ48">IF(OR(RHV="",CJ$14&gt;NmE),"",EXP($G$38-(Bval-mn-0.5)*e4b))</f>
        <v>4.832348782111923</v>
      </c>
      <c r="CK17" s="7">
        <f aca="true" t="shared" si="68" ref="CK17:CK48">IF(OR(RHV="",CK$14&gt;NmE),"",EXP($H$38-(Bval-mn-0.5)*e5b))</f>
      </c>
      <c r="CL17" s="7">
        <f aca="true" t="shared" si="69" ref="CL17:CL48">IF(OR(RHV="",CL$14&gt;NmE),"",EXP($I$38-(Bval-mn-0.5)*e6b))</f>
      </c>
      <c r="CM17" s="7">
        <f aca="true" t="shared" si="70" ref="CM17:CM48">IF(OR(RHV="",CM$14&gt;NmE),"",EXP($J$38-(Bval-mn-0.5)*e7b))</f>
      </c>
      <c r="CN17" s="7">
        <f aca="true" t="shared" si="71" ref="CN17:CN48">IF(OR(RHV="",CN$14&gt;NmE),"",EXP($K$38-(Bval-mn-0.5)*e8b))</f>
      </c>
      <c r="CO17" s="7">
        <f aca="true" t="shared" si="72" ref="CO17:CO48">IF(OR(RHV="",CO$14&gt;NmE),"",EXP($L$38-(Bval-mn-0.5)*e9b))</f>
      </c>
      <c r="CQ17" s="7">
        <f aca="true" t="shared" si="73" ref="CQ17:CQ48">IF(RHV="","",SUM(CR17:CZ17))</f>
        <v>7.529691528076793</v>
      </c>
      <c r="CR17" s="7">
        <f aca="true" t="shared" si="74" ref="CR17:CR48">IF(RHV="","",EXP($D$38-(Bval-mn+0.5*sd)*e1b))</f>
        <v>2.5068839510519974</v>
      </c>
      <c r="CS17" s="7">
        <f aca="true" t="shared" si="75" ref="CS17:CS48">IF(OR(RHV="",CS$14&gt;NmE),"",EXP($E$38-(Bval-mn+0.5*sd)*e2b))</f>
        <v>2.8259603920726075</v>
      </c>
      <c r="CT17" s="7">
        <f aca="true" t="shared" si="76" ref="CT17:CT48">IF(OR(RHV="",CT$14&gt;NmE),"",EXP($F$38-(Bval-mn+0.5*sd)*e3b))</f>
        <v>1.1576052318080747</v>
      </c>
      <c r="CU17" s="7">
        <f aca="true" t="shared" si="77" ref="CU17:CU48">IF(OR(RHV="",CU$14&gt;NmE),"",EXP($G$38-(Bval-mn+0.5*sd)*e4b))</f>
        <v>1.0392419531441137</v>
      </c>
      <c r="CV17" s="7">
        <f aca="true" t="shared" si="78" ref="CV17:CV48">IF(OR(RHV="",CV$14&gt;NmE),"",EXP($H$38-(Bval-mn+0.5*sd)*e5b))</f>
      </c>
      <c r="CW17" s="7">
        <f aca="true" t="shared" si="79" ref="CW17:CW48">IF(OR(RHV="",CW$14&gt;NmE),"",EXP($I$38-(Bval-mn+0.5*sd)*e6b))</f>
      </c>
      <c r="CX17" s="7">
        <f aca="true" t="shared" si="80" ref="CX17:CX48">IF(OR(RHV="",CX$14&gt;NmE),"",EXP($J$38-(Bval-mn+0.5*sd)*e7b))</f>
      </c>
      <c r="CY17" s="7">
        <f aca="true" t="shared" si="81" ref="CY17:CY48">IF(OR(RHV="",CY$14&gt;NmE),"",EXP($K$38-(Bval-mn+0.5*sd)*e8b))</f>
      </c>
      <c r="CZ17" s="7">
        <f aca="true" t="shared" si="82" ref="CZ17:CZ48">IF(OR(RHV="",CZ$14&gt;NmE),"",EXP($L$38-(Bval-mn+0.5*sd)*e9b))</f>
      </c>
      <c r="DB17" s="7">
        <f aca="true" t="shared" si="83" ref="DB17:DB48">IF(RHV="","",SUM(DC17:DK17))</f>
        <v>19.185109214261836</v>
      </c>
      <c r="DC17" s="7">
        <f aca="true" t="shared" si="84" ref="DC17:DC48">IF(RHV="","",EXP($D$38-(Bval-mn-0.5*sd)*e1b))</f>
        <v>1.870288893787091</v>
      </c>
      <c r="DD17" s="7">
        <f aca="true" t="shared" si="85" ref="DD17:DD48">IF(OR(RHV="",DD$14&gt;NmE),"",EXP($E$38-(Bval-mn-0.5*sd)*e2b))</f>
        <v>3.725751200992482</v>
      </c>
      <c r="DE17" s="7">
        <f aca="true" t="shared" si="86" ref="DE17:DE48">IF(OR(RHV="",DE$14&gt;NmE),"",EXP($F$38-(Bval-mn-0.5*sd)*e3b))</f>
        <v>3.2769293115345723</v>
      </c>
      <c r="DF17" s="7">
        <f aca="true" t="shared" si="87" ref="DF17:DF48">IF(OR(RHV="",DF$14&gt;NmE),"",EXP($G$38-(Bval-mn-0.5*sd)*e4b))</f>
        <v>10.312139807947691</v>
      </c>
      <c r="DG17" s="7">
        <f aca="true" t="shared" si="88" ref="DG17:DG48">IF(OR(RHV="",DG$14&gt;NmE),"",EXP($H$38-(Bval-mn-0.5*sd)*e5b))</f>
      </c>
      <c r="DH17" s="7">
        <f aca="true" t="shared" si="89" ref="DH17:DH48">IF(OR(RHV="",DH$14&gt;NmE),"",EXP($I$38-(Bval-mn-0.5*sd)*e6b))</f>
      </c>
      <c r="DI17" s="7">
        <f aca="true" t="shared" si="90" ref="DI17:DI48">IF(OR(RHV="",DI$14&gt;NmE),"",EXP($J$38-(Bval-mn-0.5*sd)*e7b))</f>
      </c>
      <c r="DJ17" s="7">
        <f aca="true" t="shared" si="91" ref="DJ17:DJ48">IF(OR(RHV="",DJ$14&gt;NmE),"",EXP($K$38-(Bval-mn-0.5*sd)*e8b))</f>
      </c>
      <c r="DK17" s="7">
        <f aca="true" t="shared" si="92" ref="DK17:DK48">IF(OR(RHV="",DK$14&gt;NmE),"",EXP($L$38-(Bval-mn-0.5*sd)*e9b))</f>
      </c>
    </row>
    <row r="18" spans="1:115" ht="11.25">
      <c r="A18" s="12"/>
      <c r="B18" s="12"/>
      <c r="C18" s="17" t="s">
        <v>8</v>
      </c>
      <c r="D18" s="12">
        <f>EXP(SUMPRODUCT(min,e1b)+D$15)</f>
        <v>1.5720836420460822</v>
      </c>
      <c r="E18" s="12">
        <f>IF(E$15="","",EXP(SUMPRODUCT(min,e2b)+E$15))</f>
        <v>0.47022724552970874</v>
      </c>
      <c r="F18" s="12">
        <f>IF(F$15="","",EXP(SUMPRODUCT(min,e3b)+F$15))</f>
        <v>0.006036426386489342</v>
      </c>
      <c r="G18" s="12">
        <f>IF(G$15="","",EXP(SUMPRODUCT(min,e4b)+G$15))</f>
        <v>0.00011050249036727715</v>
      </c>
      <c r="H18" s="12">
        <f>IF(H$15="","",EXP(SUMPRODUCT(min,e5b)+H$15))</f>
      </c>
      <c r="I18" s="12">
        <f>IF(I$15="","",EXP(SUMPRODUCT(min,e6b)+I$15))</f>
      </c>
      <c r="J18" s="12">
        <f>IF(J$15="","",EXP(SUMPRODUCT(min,e7b)+J$15))</f>
      </c>
      <c r="K18" s="12">
        <f>IF(K$15="","",EXP(SUMPRODUCT(min,e8b)+K$15))</f>
      </c>
      <c r="L18" s="12">
        <f>IF(L$15="","",EXP(SUMPRODUCT(min,e9b)+L$15))</f>
      </c>
      <c r="M18" s="12">
        <f>SUM(D18:L18)</f>
        <v>2.0484578164526477</v>
      </c>
      <c r="P18" s="12">
        <f t="shared" si="12"/>
        <v>9.333333333333332</v>
      </c>
      <c r="Q18" s="12">
        <f t="shared" si="1"/>
        <v>3.1473641372327807</v>
      </c>
      <c r="R18" s="12">
        <f t="shared" si="2"/>
        <v>2.279964498527839</v>
      </c>
      <c r="S18" s="12">
        <f t="shared" si="3"/>
        <v>0.5159129059142099</v>
      </c>
      <c r="T18" s="12">
        <f t="shared" si="4"/>
        <v>0.17484710255051772</v>
      </c>
      <c r="U18" s="12">
        <f t="shared" si="5"/>
      </c>
      <c r="V18" s="12">
        <f t="shared" si="6"/>
      </c>
      <c r="W18" s="12">
        <f t="shared" si="7"/>
      </c>
      <c r="X18" s="12">
        <f t="shared" si="8"/>
      </c>
      <c r="Y18" s="12">
        <f t="shared" si="9"/>
      </c>
      <c r="Z18" s="12">
        <f t="shared" si="11"/>
        <v>6.118088644225348</v>
      </c>
      <c r="AB18" s="12"/>
      <c r="AC18" s="7">
        <f t="shared" si="13"/>
        <v>6.339515488291804</v>
      </c>
      <c r="AD18" s="7">
        <f t="shared" si="14"/>
        <v>1.9655559479837255</v>
      </c>
      <c r="AE18" s="7">
        <f t="shared" si="15"/>
        <v>1.8395105124438342</v>
      </c>
      <c r="AF18" s="7">
        <f t="shared" si="16"/>
        <v>0.9582591320830999</v>
      </c>
      <c r="AG18" s="7">
        <f t="shared" si="17"/>
        <v>1.5761898957811449</v>
      </c>
      <c r="AH18" s="7">
        <f t="shared" si="18"/>
      </c>
      <c r="AI18" s="7">
        <f t="shared" si="19"/>
      </c>
      <c r="AJ18" s="7">
        <f t="shared" si="20"/>
      </c>
      <c r="AK18" s="7">
        <f t="shared" si="21"/>
      </c>
      <c r="AL18" s="7">
        <f t="shared" si="22"/>
      </c>
      <c r="AN18" s="7">
        <f t="shared" si="23"/>
        <v>6.491391519650955</v>
      </c>
      <c r="AO18" s="7">
        <f t="shared" si="24"/>
        <v>1.9748576710951886</v>
      </c>
      <c r="AP18" s="7">
        <f t="shared" si="25"/>
        <v>1.891146597340313</v>
      </c>
      <c r="AQ18" s="7">
        <f t="shared" si="26"/>
        <v>0.9919910987140871</v>
      </c>
      <c r="AR18" s="7">
        <f t="shared" si="27"/>
        <v>1.6333961525013663</v>
      </c>
      <c r="AS18" s="7">
        <f t="shared" si="28"/>
      </c>
      <c r="AT18" s="7">
        <f t="shared" si="29"/>
      </c>
      <c r="AU18" s="7">
        <f t="shared" si="30"/>
      </c>
      <c r="AV18" s="7">
        <f t="shared" si="31"/>
      </c>
      <c r="AW18" s="7">
        <f t="shared" si="32"/>
      </c>
      <c r="AY18" s="7">
        <f t="shared" si="33"/>
        <v>6.6480246774931695</v>
      </c>
      <c r="AZ18" s="7">
        <f t="shared" si="34"/>
        <v>1.9842034133315876</v>
      </c>
      <c r="BA18" s="7">
        <f t="shared" si="35"/>
        <v>1.944232135906885</v>
      </c>
      <c r="BB18" s="7">
        <f t="shared" si="36"/>
        <v>1.0269104744024977</v>
      </c>
      <c r="BC18" s="7">
        <f t="shared" si="37"/>
        <v>1.6926786538521992</v>
      </c>
      <c r="BD18" s="7">
        <f t="shared" si="38"/>
      </c>
      <c r="BE18" s="7">
        <f t="shared" si="39"/>
      </c>
      <c r="BF18" s="7">
        <f t="shared" si="40"/>
      </c>
      <c r="BG18" s="7">
        <f t="shared" si="41"/>
      </c>
      <c r="BH18" s="7">
        <f t="shared" si="42"/>
      </c>
      <c r="BJ18" s="7">
        <f t="shared" si="43"/>
        <v>40.0946919674918</v>
      </c>
      <c r="BK18" s="7">
        <f t="shared" si="44"/>
        <v>2.6841774488056958</v>
      </c>
      <c r="BL18" s="7">
        <f t="shared" si="45"/>
        <v>11.434445220525587</v>
      </c>
      <c r="BM18" s="7">
        <f t="shared" si="46"/>
        <v>9.399837061023003</v>
      </c>
      <c r="BN18" s="7">
        <f t="shared" si="47"/>
        <v>16.57623223713751</v>
      </c>
      <c r="BO18" s="7">
        <f t="shared" si="48"/>
      </c>
      <c r="BP18" s="7">
        <f t="shared" si="49"/>
      </c>
      <c r="BQ18" s="7">
        <f t="shared" si="50"/>
      </c>
      <c r="BR18" s="7">
        <f t="shared" si="51"/>
      </c>
      <c r="BS18" s="7">
        <f t="shared" si="52"/>
      </c>
      <c r="BU18" s="7">
        <f t="shared" si="53"/>
        <v>10.490499935568682</v>
      </c>
      <c r="BV18" s="7">
        <f t="shared" si="54"/>
        <v>2.1602114660734113</v>
      </c>
      <c r="BW18" s="7">
        <f t="shared" si="55"/>
        <v>3.2002101592281966</v>
      </c>
      <c r="BX18" s="7">
        <f t="shared" si="56"/>
        <v>1.9142619758015895</v>
      </c>
      <c r="BY18" s="7">
        <f t="shared" si="57"/>
        <v>3.215816334465485</v>
      </c>
      <c r="BZ18" s="7">
        <f t="shared" si="58"/>
      </c>
      <c r="CA18" s="7">
        <f t="shared" si="59"/>
      </c>
      <c r="CB18" s="7">
        <f t="shared" si="60"/>
      </c>
      <c r="CC18" s="7">
        <f t="shared" si="61"/>
      </c>
      <c r="CD18" s="7">
        <f t="shared" si="62"/>
      </c>
      <c r="CF18" s="7">
        <f t="shared" si="63"/>
        <v>10.77465391032165</v>
      </c>
      <c r="CG18" s="7">
        <f t="shared" si="64"/>
        <v>2.170434369644401</v>
      </c>
      <c r="CH18" s="7">
        <f t="shared" si="65"/>
        <v>3.2900418412711274</v>
      </c>
      <c r="CI18" s="7">
        <f t="shared" si="66"/>
        <v>1.9816464847812623</v>
      </c>
      <c r="CJ18" s="7">
        <f t="shared" si="67"/>
        <v>3.3325312146248587</v>
      </c>
      <c r="CK18" s="7">
        <f t="shared" si="68"/>
      </c>
      <c r="CL18" s="7">
        <f t="shared" si="69"/>
      </c>
      <c r="CM18" s="7">
        <f t="shared" si="70"/>
      </c>
      <c r="CN18" s="7">
        <f t="shared" si="71"/>
      </c>
      <c r="CO18" s="7">
        <f t="shared" si="72"/>
      </c>
      <c r="CQ18" s="7">
        <f t="shared" si="73"/>
        <v>8.852161257281196</v>
      </c>
      <c r="CR18" s="7">
        <f t="shared" si="74"/>
        <v>2.0951271688383075</v>
      </c>
      <c r="CS18" s="7">
        <f t="shared" si="75"/>
        <v>2.6746922238505624</v>
      </c>
      <c r="CT18" s="7">
        <f t="shared" si="76"/>
        <v>1.5298379210091575</v>
      </c>
      <c r="CU18" s="7">
        <f t="shared" si="77"/>
        <v>2.552503943583169</v>
      </c>
      <c r="CV18" s="7">
        <f t="shared" si="78"/>
      </c>
      <c r="CW18" s="7">
        <f t="shared" si="79"/>
      </c>
      <c r="CX18" s="7">
        <f t="shared" si="80"/>
      </c>
      <c r="CY18" s="7">
        <f t="shared" si="81"/>
      </c>
      <c r="CZ18" s="7">
        <f t="shared" si="82"/>
      </c>
      <c r="DB18" s="7">
        <f t="shared" si="83"/>
        <v>12.852470530039554</v>
      </c>
      <c r="DC18" s="7">
        <f t="shared" si="84"/>
        <v>2.2378580553014142</v>
      </c>
      <c r="DD18" s="7">
        <f t="shared" si="85"/>
        <v>3.936462382787396</v>
      </c>
      <c r="DE18" s="7">
        <f t="shared" si="86"/>
        <v>2.479602880281163</v>
      </c>
      <c r="DF18" s="7">
        <f t="shared" si="87"/>
        <v>4.19854721166958</v>
      </c>
      <c r="DG18" s="7">
        <f t="shared" si="88"/>
      </c>
      <c r="DH18" s="7">
        <f t="shared" si="89"/>
      </c>
      <c r="DI18" s="7">
        <f t="shared" si="90"/>
      </c>
      <c r="DJ18" s="7">
        <f t="shared" si="91"/>
      </c>
      <c r="DK18" s="7">
        <f t="shared" si="92"/>
      </c>
    </row>
    <row r="19" spans="1:115" ht="11.25">
      <c r="A19" s="12"/>
      <c r="B19" s="11"/>
      <c r="C19" s="18" t="s">
        <v>9</v>
      </c>
      <c r="D19" s="11">
        <f>EXP(SUMPRODUCT(max,e1b)+D$15)</f>
        <v>1.3509969481240856</v>
      </c>
      <c r="E19" s="11">
        <f>IF(E$15="","",EXP(SUMPRODUCT(max,e2b)+E$15))</f>
        <v>21.854992824670788</v>
      </c>
      <c r="F19" s="11">
        <f>IF(F$15="","",EXP(SUMPRODUCT(max,e3b)+F$15))</f>
        <v>107.69039529401581</v>
      </c>
      <c r="G19" s="11">
        <f>IF(G$15="","",EXP(SUMPRODUCT(max,e4b)+G$15))</f>
        <v>3590.2366552783515</v>
      </c>
      <c r="H19" s="11">
        <f>IF(H$15="","",EXP(SUMPRODUCT(max,e5b)+H$15))</f>
      </c>
      <c r="I19" s="11">
        <f>IF(I$15="","",EXP(SUMPRODUCT(max,e6b)+I$15))</f>
      </c>
      <c r="J19" s="11">
        <f>IF(J$15="","",EXP(SUMPRODUCT(max,e7b)+J$15))</f>
      </c>
      <c r="K19" s="11">
        <f>IF(K$15="","",EXP(SUMPRODUCT(max,e8b)+K$15))</f>
      </c>
      <c r="L19" s="11">
        <f>IF(L$15="","",EXP(SUMPRODUCT(max,e9b)+L$15))</f>
      </c>
      <c r="M19" s="11">
        <f>SUM(D19:L19)</f>
        <v>3721.133040345162</v>
      </c>
      <c r="P19" s="12">
        <f t="shared" si="12"/>
        <v>11.444444444444443</v>
      </c>
      <c r="Q19" s="12">
        <f t="shared" si="1"/>
        <v>2.551467622432196</v>
      </c>
      <c r="R19" s="12">
        <f t="shared" si="2"/>
        <v>2.779343101503263</v>
      </c>
      <c r="S19" s="12">
        <f t="shared" si="3"/>
        <v>1.0873437872009566</v>
      </c>
      <c r="T19" s="12">
        <f t="shared" si="4"/>
        <v>0.905198984868331</v>
      </c>
      <c r="U19" s="12">
        <f t="shared" si="5"/>
      </c>
      <c r="V19" s="12">
        <f t="shared" si="6"/>
      </c>
      <c r="W19" s="12">
        <f t="shared" si="7"/>
      </c>
      <c r="X19" s="12">
        <f t="shared" si="8"/>
      </c>
      <c r="Y19" s="12">
        <f t="shared" si="9"/>
      </c>
      <c r="Z19" s="12">
        <f t="shared" si="11"/>
        <v>7.323353496004747</v>
      </c>
      <c r="AB19" s="12"/>
      <c r="AC19" s="7">
        <f t="shared" si="13"/>
      </c>
      <c r="AD19" s="7">
        <f t="shared" si="14"/>
      </c>
      <c r="AE19" s="7">
        <f t="shared" si="15"/>
      </c>
      <c r="AF19" s="7">
        <f t="shared" si="16"/>
      </c>
      <c r="AG19" s="7">
        <f t="shared" si="17"/>
      </c>
      <c r="AH19" s="7">
        <f t="shared" si="18"/>
      </c>
      <c r="AI19" s="7">
        <f t="shared" si="19"/>
      </c>
      <c r="AJ19" s="7">
        <f t="shared" si="20"/>
      </c>
      <c r="AK19" s="7">
        <f t="shared" si="21"/>
      </c>
      <c r="AL19" s="7">
        <f t="shared" si="22"/>
      </c>
      <c r="AN19" s="7">
        <f t="shared" si="23"/>
      </c>
      <c r="AO19" s="7">
        <f t="shared" si="24"/>
      </c>
      <c r="AP19" s="7">
        <f t="shared" si="25"/>
      </c>
      <c r="AQ19" s="7">
        <f t="shared" si="26"/>
      </c>
      <c r="AR19" s="7">
        <f t="shared" si="27"/>
      </c>
      <c r="AS19" s="7">
        <f t="shared" si="28"/>
      </c>
      <c r="AT19" s="7">
        <f t="shared" si="29"/>
      </c>
      <c r="AU19" s="7">
        <f t="shared" si="30"/>
      </c>
      <c r="AV19" s="7">
        <f t="shared" si="31"/>
      </c>
      <c r="AW19" s="7">
        <f t="shared" si="32"/>
      </c>
      <c r="AY19" s="7">
        <f t="shared" si="33"/>
      </c>
      <c r="AZ19" s="7">
        <f t="shared" si="34"/>
      </c>
      <c r="BA19" s="7">
        <f t="shared" si="35"/>
      </c>
      <c r="BB19" s="7">
        <f t="shared" si="36"/>
      </c>
      <c r="BC19" s="7">
        <f t="shared" si="37"/>
      </c>
      <c r="BD19" s="7">
        <f t="shared" si="38"/>
      </c>
      <c r="BE19" s="7">
        <f t="shared" si="39"/>
      </c>
      <c r="BF19" s="7">
        <f t="shared" si="40"/>
      </c>
      <c r="BG19" s="7">
        <f t="shared" si="41"/>
      </c>
      <c r="BH19" s="7">
        <f t="shared" si="42"/>
      </c>
      <c r="BJ19" s="7">
        <f t="shared" si="43"/>
      </c>
      <c r="BK19" s="7">
        <f t="shared" si="44"/>
      </c>
      <c r="BL19" s="7">
        <f t="shared" si="45"/>
      </c>
      <c r="BM19" s="7">
        <f t="shared" si="46"/>
      </c>
      <c r="BN19" s="7">
        <f t="shared" si="47"/>
      </c>
      <c r="BO19" s="7">
        <f t="shared" si="48"/>
      </c>
      <c r="BP19" s="7">
        <f t="shared" si="49"/>
      </c>
      <c r="BQ19" s="7">
        <f t="shared" si="50"/>
      </c>
      <c r="BR19" s="7">
        <f t="shared" si="51"/>
      </c>
      <c r="BS19" s="7">
        <f t="shared" si="52"/>
      </c>
      <c r="BU19" s="7">
        <f t="shared" si="53"/>
      </c>
      <c r="BV19" s="7">
        <f t="shared" si="54"/>
      </c>
      <c r="BW19" s="7">
        <f t="shared" si="55"/>
      </c>
      <c r="BX19" s="7">
        <f t="shared" si="56"/>
      </c>
      <c r="BY19" s="7">
        <f t="shared" si="57"/>
      </c>
      <c r="BZ19" s="7">
        <f t="shared" si="58"/>
      </c>
      <c r="CA19" s="7">
        <f t="shared" si="59"/>
      </c>
      <c r="CB19" s="7">
        <f t="shared" si="60"/>
      </c>
      <c r="CC19" s="7">
        <f t="shared" si="61"/>
      </c>
      <c r="CD19" s="7">
        <f t="shared" si="62"/>
      </c>
      <c r="CF19" s="7">
        <f t="shared" si="63"/>
      </c>
      <c r="CG19" s="7">
        <f t="shared" si="64"/>
      </c>
      <c r="CH19" s="7">
        <f t="shared" si="65"/>
      </c>
      <c r="CI19" s="7">
        <f t="shared" si="66"/>
      </c>
      <c r="CJ19" s="7">
        <f t="shared" si="67"/>
      </c>
      <c r="CK19" s="7">
        <f t="shared" si="68"/>
      </c>
      <c r="CL19" s="7">
        <f t="shared" si="69"/>
      </c>
      <c r="CM19" s="7">
        <f t="shared" si="70"/>
      </c>
      <c r="CN19" s="7">
        <f t="shared" si="71"/>
      </c>
      <c r="CO19" s="7">
        <f t="shared" si="72"/>
      </c>
      <c r="CQ19" s="7">
        <f t="shared" si="73"/>
      </c>
      <c r="CR19" s="7">
        <f t="shared" si="74"/>
      </c>
      <c r="CS19" s="7">
        <f t="shared" si="75"/>
      </c>
      <c r="CT19" s="7">
        <f t="shared" si="76"/>
      </c>
      <c r="CU19" s="7">
        <f t="shared" si="77"/>
      </c>
      <c r="CV19" s="7">
        <f t="shared" si="78"/>
      </c>
      <c r="CW19" s="7">
        <f t="shared" si="79"/>
      </c>
      <c r="CX19" s="7">
        <f t="shared" si="80"/>
      </c>
      <c r="CY19" s="7">
        <f t="shared" si="81"/>
      </c>
      <c r="CZ19" s="7">
        <f t="shared" si="82"/>
      </c>
      <c r="DB19" s="7">
        <f t="shared" si="83"/>
      </c>
      <c r="DC19" s="7">
        <f t="shared" si="84"/>
      </c>
      <c r="DD19" s="7">
        <f t="shared" si="85"/>
      </c>
      <c r="DE19" s="7">
        <f t="shared" si="86"/>
      </c>
      <c r="DF19" s="7">
        <f t="shared" si="87"/>
      </c>
      <c r="DG19" s="7">
        <f t="shared" si="88"/>
      </c>
      <c r="DH19" s="7">
        <f t="shared" si="89"/>
      </c>
      <c r="DI19" s="7">
        <f t="shared" si="90"/>
      </c>
      <c r="DJ19" s="7">
        <f t="shared" si="91"/>
      </c>
      <c r="DK19" s="7">
        <f t="shared" si="92"/>
      </c>
    </row>
    <row r="20" spans="1:115" ht="11.25">
      <c r="A20" s="12"/>
      <c r="B20" s="17" t="s">
        <v>72</v>
      </c>
      <c r="C20" s="17" t="s">
        <v>73</v>
      </c>
      <c r="D20" s="12">
        <f ca="1">IF(Vtoc1="","",INDIRECT(ADDRESS(Vc1th,D$14+11,1,,"Input")))</f>
        <v>1.236504</v>
      </c>
      <c r="E20" s="12">
        <f aca="true" ca="1" t="shared" si="93" ref="E20:L20">IF(OR(E$14&gt;NmE,Vtoc1=""),"",INDIRECT(ADDRESS(Vc1th,E$14+11,1,,"Input")))</f>
        <v>0.4723436</v>
      </c>
      <c r="F20" s="12">
        <f ca="1" t="shared" si="93"/>
        <v>1.571385</v>
      </c>
      <c r="G20" s="12">
        <f ca="1" t="shared" si="93"/>
        <v>1.774306</v>
      </c>
      <c r="H20" s="12">
        <f ca="1" t="shared" si="93"/>
      </c>
      <c r="I20" s="12">
        <f ca="1" t="shared" si="93"/>
      </c>
      <c r="J20" s="12">
        <f ca="1" t="shared" si="93"/>
      </c>
      <c r="K20" s="12">
        <f ca="1" t="shared" si="93"/>
      </c>
      <c r="L20" s="12">
        <f ca="1" t="shared" si="93"/>
      </c>
      <c r="M20" s="12"/>
      <c r="P20" s="12">
        <f t="shared" si="12"/>
        <v>13.555555555555554</v>
      </c>
      <c r="Q20" s="12">
        <f t="shared" si="1"/>
        <v>2.068393342641154</v>
      </c>
      <c r="R20" s="12">
        <f t="shared" si="2"/>
        <v>3.388100157200519</v>
      </c>
      <c r="S20" s="12">
        <f t="shared" si="3"/>
        <v>2.2916978777055905</v>
      </c>
      <c r="T20" s="12">
        <f t="shared" si="4"/>
        <v>4.686295570553799</v>
      </c>
      <c r="U20" s="12">
        <f t="shared" si="5"/>
      </c>
      <c r="V20" s="12">
        <f t="shared" si="6"/>
      </c>
      <c r="W20" s="12">
        <f t="shared" si="7"/>
      </c>
      <c r="X20" s="12">
        <f t="shared" si="8"/>
      </c>
      <c r="Y20" s="12">
        <f t="shared" si="9"/>
      </c>
      <c r="Z20" s="12">
        <f t="shared" si="11"/>
        <v>12.434486948101062</v>
      </c>
      <c r="AB20" s="12"/>
      <c r="AC20" s="7">
        <f t="shared" si="13"/>
      </c>
      <c r="AD20" s="7">
        <f t="shared" si="14"/>
      </c>
      <c r="AE20" s="7">
        <f t="shared" si="15"/>
      </c>
      <c r="AF20" s="7">
        <f t="shared" si="16"/>
      </c>
      <c r="AG20" s="7">
        <f t="shared" si="17"/>
      </c>
      <c r="AH20" s="7">
        <f t="shared" si="18"/>
      </c>
      <c r="AI20" s="7">
        <f t="shared" si="19"/>
      </c>
      <c r="AJ20" s="7">
        <f t="shared" si="20"/>
      </c>
      <c r="AK20" s="7">
        <f t="shared" si="21"/>
      </c>
      <c r="AL20" s="7">
        <f t="shared" si="22"/>
      </c>
      <c r="AN20" s="7">
        <f t="shared" si="23"/>
      </c>
      <c r="AO20" s="7">
        <f t="shared" si="24"/>
      </c>
      <c r="AP20" s="7">
        <f t="shared" si="25"/>
      </c>
      <c r="AQ20" s="7">
        <f t="shared" si="26"/>
      </c>
      <c r="AR20" s="7">
        <f t="shared" si="27"/>
      </c>
      <c r="AS20" s="7">
        <f t="shared" si="28"/>
      </c>
      <c r="AT20" s="7">
        <f t="shared" si="29"/>
      </c>
      <c r="AU20" s="7">
        <f t="shared" si="30"/>
      </c>
      <c r="AV20" s="7">
        <f t="shared" si="31"/>
      </c>
      <c r="AW20" s="7">
        <f t="shared" si="32"/>
      </c>
      <c r="AY20" s="7">
        <f t="shared" si="33"/>
      </c>
      <c r="AZ20" s="7">
        <f t="shared" si="34"/>
      </c>
      <c r="BA20" s="7">
        <f t="shared" si="35"/>
      </c>
      <c r="BB20" s="7">
        <f t="shared" si="36"/>
      </c>
      <c r="BC20" s="7">
        <f t="shared" si="37"/>
      </c>
      <c r="BD20" s="7">
        <f t="shared" si="38"/>
      </c>
      <c r="BE20" s="7">
        <f t="shared" si="39"/>
      </c>
      <c r="BF20" s="7">
        <f t="shared" si="40"/>
      </c>
      <c r="BG20" s="7">
        <f t="shared" si="41"/>
      </c>
      <c r="BH20" s="7">
        <f t="shared" si="42"/>
      </c>
      <c r="BJ20" s="7">
        <f t="shared" si="43"/>
      </c>
      <c r="BK20" s="7">
        <f t="shared" si="44"/>
      </c>
      <c r="BL20" s="7">
        <f t="shared" si="45"/>
      </c>
      <c r="BM20" s="7">
        <f t="shared" si="46"/>
      </c>
      <c r="BN20" s="7">
        <f t="shared" si="47"/>
      </c>
      <c r="BO20" s="7">
        <f t="shared" si="48"/>
      </c>
      <c r="BP20" s="7">
        <f t="shared" si="49"/>
      </c>
      <c r="BQ20" s="7">
        <f t="shared" si="50"/>
      </c>
      <c r="BR20" s="7">
        <f t="shared" si="51"/>
      </c>
      <c r="BS20" s="7">
        <f t="shared" si="52"/>
      </c>
      <c r="BU20" s="7">
        <f t="shared" si="53"/>
      </c>
      <c r="BV20" s="7">
        <f t="shared" si="54"/>
      </c>
      <c r="BW20" s="7">
        <f t="shared" si="55"/>
      </c>
      <c r="BX20" s="7">
        <f t="shared" si="56"/>
      </c>
      <c r="BY20" s="7">
        <f t="shared" si="57"/>
      </c>
      <c r="BZ20" s="7">
        <f t="shared" si="58"/>
      </c>
      <c r="CA20" s="7">
        <f t="shared" si="59"/>
      </c>
      <c r="CB20" s="7">
        <f t="shared" si="60"/>
      </c>
      <c r="CC20" s="7">
        <f t="shared" si="61"/>
      </c>
      <c r="CD20" s="7">
        <f t="shared" si="62"/>
      </c>
      <c r="CF20" s="7">
        <f t="shared" si="63"/>
      </c>
      <c r="CG20" s="7">
        <f t="shared" si="64"/>
      </c>
      <c r="CH20" s="7">
        <f t="shared" si="65"/>
      </c>
      <c r="CI20" s="7">
        <f t="shared" si="66"/>
      </c>
      <c r="CJ20" s="7">
        <f t="shared" si="67"/>
      </c>
      <c r="CK20" s="7">
        <f t="shared" si="68"/>
      </c>
      <c r="CL20" s="7">
        <f t="shared" si="69"/>
      </c>
      <c r="CM20" s="7">
        <f t="shared" si="70"/>
      </c>
      <c r="CN20" s="7">
        <f t="shared" si="71"/>
      </c>
      <c r="CO20" s="7">
        <f t="shared" si="72"/>
      </c>
      <c r="CQ20" s="7">
        <f t="shared" si="73"/>
      </c>
      <c r="CR20" s="7">
        <f t="shared" si="74"/>
      </c>
      <c r="CS20" s="7">
        <f t="shared" si="75"/>
      </c>
      <c r="CT20" s="7">
        <f t="shared" si="76"/>
      </c>
      <c r="CU20" s="7">
        <f t="shared" si="77"/>
      </c>
      <c r="CV20" s="7">
        <f t="shared" si="78"/>
      </c>
      <c r="CW20" s="7">
        <f t="shared" si="79"/>
      </c>
      <c r="CX20" s="7">
        <f t="shared" si="80"/>
      </c>
      <c r="CY20" s="7">
        <f t="shared" si="81"/>
      </c>
      <c r="CZ20" s="7">
        <f t="shared" si="82"/>
      </c>
      <c r="DB20" s="7">
        <f t="shared" si="83"/>
      </c>
      <c r="DC20" s="7">
        <f t="shared" si="84"/>
      </c>
      <c r="DD20" s="7">
        <f t="shared" si="85"/>
      </c>
      <c r="DE20" s="7">
        <f t="shared" si="86"/>
      </c>
      <c r="DF20" s="7">
        <f t="shared" si="87"/>
      </c>
      <c r="DG20" s="7">
        <f t="shared" si="88"/>
      </c>
      <c r="DH20" s="7">
        <f t="shared" si="89"/>
      </c>
      <c r="DI20" s="7">
        <f t="shared" si="90"/>
      </c>
      <c r="DJ20" s="7">
        <f t="shared" si="91"/>
      </c>
      <c r="DK20" s="7">
        <f t="shared" si="92"/>
      </c>
    </row>
    <row r="21" spans="1:115" ht="11.25">
      <c r="A21" s="12"/>
      <c r="B21" s="17" t="s">
        <v>74</v>
      </c>
      <c r="C21" s="17" t="s">
        <v>75</v>
      </c>
      <c r="D21" s="12">
        <f ca="1">IF(Vtoc2="","",INDIRECT(ADDRESS(Vc2th,D$14+11,1,,"Input")))</f>
        <v>-0.0994247</v>
      </c>
      <c r="E21" s="12">
        <f aca="true" ca="1" t="shared" si="94" ref="E21:L21">IF(OR(E$14&gt;NmE,Vtoc2=""),"",INDIRECT(ADDRESS(Vc2th,E$14+11,1,,"Input")))</f>
        <v>0.0938154</v>
      </c>
      <c r="F21" s="12">
        <f ca="1" t="shared" si="94"/>
        <v>0.3531577</v>
      </c>
      <c r="G21" s="12">
        <f ca="1" t="shared" si="94"/>
        <v>0.7788519</v>
      </c>
      <c r="H21" s="12">
        <f ca="1" t="shared" si="94"/>
      </c>
      <c r="I21" s="12">
        <f ca="1" t="shared" si="94"/>
      </c>
      <c r="J21" s="12">
        <f ca="1" t="shared" si="94"/>
      </c>
      <c r="K21" s="12">
        <f ca="1" t="shared" si="94"/>
      </c>
      <c r="L21" s="12">
        <f ca="1" t="shared" si="94"/>
      </c>
      <c r="M21" s="12"/>
      <c r="P21" s="12">
        <f t="shared" si="12"/>
        <v>15.666666666666664</v>
      </c>
      <c r="Q21" s="12">
        <f t="shared" si="1"/>
        <v>1.6767804467783087</v>
      </c>
      <c r="R21" s="12">
        <f t="shared" si="2"/>
        <v>4.13019273115774</v>
      </c>
      <c r="S21" s="12">
        <f t="shared" si="3"/>
        <v>4.830007974018698</v>
      </c>
      <c r="T21" s="12">
        <f t="shared" si="4"/>
        <v>24.26136854073762</v>
      </c>
      <c r="U21" s="12">
        <f t="shared" si="5"/>
      </c>
      <c r="V21" s="12">
        <f t="shared" si="6"/>
      </c>
      <c r="W21" s="12">
        <f t="shared" si="7"/>
      </c>
      <c r="X21" s="12">
        <f t="shared" si="8"/>
      </c>
      <c r="Y21" s="12">
        <f t="shared" si="9"/>
      </c>
      <c r="Z21" s="12">
        <f t="shared" si="11"/>
        <v>34.89834969269236</v>
      </c>
      <c r="AB21" s="12"/>
      <c r="AC21" s="7">
        <f t="shared" si="13"/>
      </c>
      <c r="AD21" s="7">
        <f t="shared" si="14"/>
      </c>
      <c r="AE21" s="7">
        <f t="shared" si="15"/>
      </c>
      <c r="AF21" s="7">
        <f t="shared" si="16"/>
      </c>
      <c r="AG21" s="7">
        <f t="shared" si="17"/>
      </c>
      <c r="AH21" s="7">
        <f t="shared" si="18"/>
      </c>
      <c r="AI21" s="7">
        <f t="shared" si="19"/>
      </c>
      <c r="AJ21" s="7">
        <f t="shared" si="20"/>
      </c>
      <c r="AK21" s="7">
        <f t="shared" si="21"/>
      </c>
      <c r="AL21" s="7">
        <f t="shared" si="22"/>
      </c>
      <c r="AN21" s="7">
        <f t="shared" si="23"/>
      </c>
      <c r="AO21" s="7">
        <f t="shared" si="24"/>
      </c>
      <c r="AP21" s="7">
        <f t="shared" si="25"/>
      </c>
      <c r="AQ21" s="7">
        <f t="shared" si="26"/>
      </c>
      <c r="AR21" s="7">
        <f t="shared" si="27"/>
      </c>
      <c r="AS21" s="7">
        <f t="shared" si="28"/>
      </c>
      <c r="AT21" s="7">
        <f t="shared" si="29"/>
      </c>
      <c r="AU21" s="7">
        <f t="shared" si="30"/>
      </c>
      <c r="AV21" s="7">
        <f t="shared" si="31"/>
      </c>
      <c r="AW21" s="7">
        <f t="shared" si="32"/>
      </c>
      <c r="AY21" s="7">
        <f t="shared" si="33"/>
      </c>
      <c r="AZ21" s="7">
        <f t="shared" si="34"/>
      </c>
      <c r="BA21" s="7">
        <f t="shared" si="35"/>
      </c>
      <c r="BB21" s="7">
        <f t="shared" si="36"/>
      </c>
      <c r="BC21" s="7">
        <f t="shared" si="37"/>
      </c>
      <c r="BD21" s="7">
        <f t="shared" si="38"/>
      </c>
      <c r="BE21" s="7">
        <f t="shared" si="39"/>
      </c>
      <c r="BF21" s="7">
        <f t="shared" si="40"/>
      </c>
      <c r="BG21" s="7">
        <f t="shared" si="41"/>
      </c>
      <c r="BH21" s="7">
        <f t="shared" si="42"/>
      </c>
      <c r="BJ21" s="7">
        <f t="shared" si="43"/>
      </c>
      <c r="BK21" s="7">
        <f t="shared" si="44"/>
      </c>
      <c r="BL21" s="7">
        <f t="shared" si="45"/>
      </c>
      <c r="BM21" s="7">
        <f t="shared" si="46"/>
      </c>
      <c r="BN21" s="7">
        <f t="shared" si="47"/>
      </c>
      <c r="BO21" s="7">
        <f t="shared" si="48"/>
      </c>
      <c r="BP21" s="7">
        <f t="shared" si="49"/>
      </c>
      <c r="BQ21" s="7">
        <f t="shared" si="50"/>
      </c>
      <c r="BR21" s="7">
        <f t="shared" si="51"/>
      </c>
      <c r="BS21" s="7">
        <f t="shared" si="52"/>
      </c>
      <c r="BU21" s="7">
        <f t="shared" si="53"/>
      </c>
      <c r="BV21" s="7">
        <f t="shared" si="54"/>
      </c>
      <c r="BW21" s="7">
        <f t="shared" si="55"/>
      </c>
      <c r="BX21" s="7">
        <f t="shared" si="56"/>
      </c>
      <c r="BY21" s="7">
        <f t="shared" si="57"/>
      </c>
      <c r="BZ21" s="7">
        <f t="shared" si="58"/>
      </c>
      <c r="CA21" s="7">
        <f t="shared" si="59"/>
      </c>
      <c r="CB21" s="7">
        <f t="shared" si="60"/>
      </c>
      <c r="CC21" s="7">
        <f t="shared" si="61"/>
      </c>
      <c r="CD21" s="7">
        <f t="shared" si="62"/>
      </c>
      <c r="CF21" s="7">
        <f t="shared" si="63"/>
      </c>
      <c r="CG21" s="7">
        <f t="shared" si="64"/>
      </c>
      <c r="CH21" s="7">
        <f t="shared" si="65"/>
      </c>
      <c r="CI21" s="7">
        <f t="shared" si="66"/>
      </c>
      <c r="CJ21" s="7">
        <f t="shared" si="67"/>
      </c>
      <c r="CK21" s="7">
        <f t="shared" si="68"/>
      </c>
      <c r="CL21" s="7">
        <f t="shared" si="69"/>
      </c>
      <c r="CM21" s="7">
        <f t="shared" si="70"/>
      </c>
      <c r="CN21" s="7">
        <f t="shared" si="71"/>
      </c>
      <c r="CO21" s="7">
        <f t="shared" si="72"/>
      </c>
      <c r="CQ21" s="7">
        <f t="shared" si="73"/>
      </c>
      <c r="CR21" s="7">
        <f t="shared" si="74"/>
      </c>
      <c r="CS21" s="7">
        <f t="shared" si="75"/>
      </c>
      <c r="CT21" s="7">
        <f t="shared" si="76"/>
      </c>
      <c r="CU21" s="7">
        <f t="shared" si="77"/>
      </c>
      <c r="CV21" s="7">
        <f t="shared" si="78"/>
      </c>
      <c r="CW21" s="7">
        <f t="shared" si="79"/>
      </c>
      <c r="CX21" s="7">
        <f t="shared" si="80"/>
      </c>
      <c r="CY21" s="7">
        <f t="shared" si="81"/>
      </c>
      <c r="CZ21" s="7">
        <f t="shared" si="82"/>
      </c>
      <c r="DB21" s="7">
        <f t="shared" si="83"/>
      </c>
      <c r="DC21" s="7">
        <f t="shared" si="84"/>
      </c>
      <c r="DD21" s="7">
        <f t="shared" si="85"/>
      </c>
      <c r="DE21" s="7">
        <f t="shared" si="86"/>
      </c>
      <c r="DF21" s="7">
        <f t="shared" si="87"/>
      </c>
      <c r="DG21" s="7">
        <f t="shared" si="88"/>
      </c>
      <c r="DH21" s="7">
        <f t="shared" si="89"/>
      </c>
      <c r="DI21" s="7">
        <f t="shared" si="90"/>
      </c>
      <c r="DJ21" s="7">
        <f t="shared" si="91"/>
      </c>
      <c r="DK21" s="7">
        <f t="shared" si="92"/>
      </c>
    </row>
    <row r="22" spans="1:115" ht="11.25">
      <c r="A22" s="12"/>
      <c r="B22" s="18" t="s">
        <v>76</v>
      </c>
      <c r="C22" s="18" t="s">
        <v>77</v>
      </c>
      <c r="D22" s="11">
        <f ca="1">IF(vtoc3="","",INDIRECT(ADDRESS(Vc3th,D$14+11,1,,"Input")))</f>
        <v>0.0047212</v>
      </c>
      <c r="E22" s="11">
        <f aca="true" ca="1" t="shared" si="95" ref="E22:L22">IF(OR(E$14&gt;NmE,vtoc3=""),"",INDIRECT(ADDRESS(Vc3th,E$14+11,1,,"Input")))</f>
        <v>0.0276838</v>
      </c>
      <c r="F22" s="11">
        <f ca="1" t="shared" si="95"/>
        <v>0.0345959</v>
      </c>
      <c r="G22" s="11">
        <f ca="1" t="shared" si="95"/>
        <v>0.0356509</v>
      </c>
      <c r="H22" s="11">
        <f ca="1" t="shared" si="95"/>
      </c>
      <c r="I22" s="11">
        <f ca="1" t="shared" si="95"/>
      </c>
      <c r="J22" s="11">
        <f ca="1" t="shared" si="95"/>
      </c>
      <c r="K22" s="11">
        <f ca="1" t="shared" si="95"/>
      </c>
      <c r="L22" s="11">
        <f ca="1" t="shared" si="95"/>
      </c>
      <c r="M22" s="11"/>
      <c r="P22" s="12">
        <f t="shared" si="12"/>
        <v>17.777777777777775</v>
      </c>
      <c r="Q22" s="12">
        <f t="shared" si="1"/>
        <v>1.3593123748444824</v>
      </c>
      <c r="R22" s="12">
        <f t="shared" si="2"/>
        <v>5.034825183740474</v>
      </c>
      <c r="S22" s="12">
        <f t="shared" si="3"/>
        <v>10.179778606960516</v>
      </c>
      <c r="T22" s="12">
        <f t="shared" si="4"/>
        <v>125.60326053013641</v>
      </c>
      <c r="U22" s="12">
        <f t="shared" si="5"/>
      </c>
      <c r="V22" s="12">
        <f t="shared" si="6"/>
      </c>
      <c r="W22" s="12">
        <f t="shared" si="7"/>
      </c>
      <c r="X22" s="12">
        <f t="shared" si="8"/>
      </c>
      <c r="Y22" s="12">
        <f t="shared" si="9"/>
      </c>
      <c r="Z22" s="12">
        <f t="shared" si="11"/>
        <v>142.17717669568188</v>
      </c>
      <c r="AB22" s="12"/>
      <c r="AC22" s="7">
        <f t="shared" si="13"/>
      </c>
      <c r="AD22" s="7">
        <f t="shared" si="14"/>
      </c>
      <c r="AE22" s="7">
        <f t="shared" si="15"/>
      </c>
      <c r="AF22" s="7">
        <f t="shared" si="16"/>
      </c>
      <c r="AG22" s="7">
        <f t="shared" si="17"/>
      </c>
      <c r="AH22" s="7">
        <f t="shared" si="18"/>
      </c>
      <c r="AI22" s="7">
        <f t="shared" si="19"/>
      </c>
      <c r="AJ22" s="7">
        <f t="shared" si="20"/>
      </c>
      <c r="AK22" s="7">
        <f t="shared" si="21"/>
      </c>
      <c r="AL22" s="7">
        <f t="shared" si="22"/>
      </c>
      <c r="AN22" s="7">
        <f t="shared" si="23"/>
      </c>
      <c r="AO22" s="7">
        <f t="shared" si="24"/>
      </c>
      <c r="AP22" s="7">
        <f t="shared" si="25"/>
      </c>
      <c r="AQ22" s="7">
        <f t="shared" si="26"/>
      </c>
      <c r="AR22" s="7">
        <f t="shared" si="27"/>
      </c>
      <c r="AS22" s="7">
        <f t="shared" si="28"/>
      </c>
      <c r="AT22" s="7">
        <f t="shared" si="29"/>
      </c>
      <c r="AU22" s="7">
        <f t="shared" si="30"/>
      </c>
      <c r="AV22" s="7">
        <f t="shared" si="31"/>
      </c>
      <c r="AW22" s="7">
        <f t="shared" si="32"/>
      </c>
      <c r="AY22" s="7">
        <f t="shared" si="33"/>
      </c>
      <c r="AZ22" s="7">
        <f t="shared" si="34"/>
      </c>
      <c r="BA22" s="7">
        <f t="shared" si="35"/>
      </c>
      <c r="BB22" s="7">
        <f t="shared" si="36"/>
      </c>
      <c r="BC22" s="7">
        <f t="shared" si="37"/>
      </c>
      <c r="BD22" s="7">
        <f t="shared" si="38"/>
      </c>
      <c r="BE22" s="7">
        <f t="shared" si="39"/>
      </c>
      <c r="BF22" s="7">
        <f t="shared" si="40"/>
      </c>
      <c r="BG22" s="7">
        <f t="shared" si="41"/>
      </c>
      <c r="BH22" s="7">
        <f t="shared" si="42"/>
      </c>
      <c r="BJ22" s="7">
        <f t="shared" si="43"/>
      </c>
      <c r="BK22" s="7">
        <f t="shared" si="44"/>
      </c>
      <c r="BL22" s="7">
        <f t="shared" si="45"/>
      </c>
      <c r="BM22" s="7">
        <f t="shared" si="46"/>
      </c>
      <c r="BN22" s="7">
        <f t="shared" si="47"/>
      </c>
      <c r="BO22" s="7">
        <f t="shared" si="48"/>
      </c>
      <c r="BP22" s="7">
        <f t="shared" si="49"/>
      </c>
      <c r="BQ22" s="7">
        <f t="shared" si="50"/>
      </c>
      <c r="BR22" s="7">
        <f t="shared" si="51"/>
      </c>
      <c r="BS22" s="7">
        <f t="shared" si="52"/>
      </c>
      <c r="BU22" s="7">
        <f t="shared" si="53"/>
      </c>
      <c r="BV22" s="7">
        <f t="shared" si="54"/>
      </c>
      <c r="BW22" s="7">
        <f t="shared" si="55"/>
      </c>
      <c r="BX22" s="7">
        <f t="shared" si="56"/>
      </c>
      <c r="BY22" s="7">
        <f t="shared" si="57"/>
      </c>
      <c r="BZ22" s="7">
        <f t="shared" si="58"/>
      </c>
      <c r="CA22" s="7">
        <f t="shared" si="59"/>
      </c>
      <c r="CB22" s="7">
        <f t="shared" si="60"/>
      </c>
      <c r="CC22" s="7">
        <f t="shared" si="61"/>
      </c>
      <c r="CD22" s="7">
        <f t="shared" si="62"/>
      </c>
      <c r="CF22" s="7">
        <f t="shared" si="63"/>
      </c>
      <c r="CG22" s="7">
        <f t="shared" si="64"/>
      </c>
      <c r="CH22" s="7">
        <f t="shared" si="65"/>
      </c>
      <c r="CI22" s="7">
        <f t="shared" si="66"/>
      </c>
      <c r="CJ22" s="7">
        <f t="shared" si="67"/>
      </c>
      <c r="CK22" s="7">
        <f t="shared" si="68"/>
      </c>
      <c r="CL22" s="7">
        <f t="shared" si="69"/>
      </c>
      <c r="CM22" s="7">
        <f t="shared" si="70"/>
      </c>
      <c r="CN22" s="7">
        <f t="shared" si="71"/>
      </c>
      <c r="CO22" s="7">
        <f t="shared" si="72"/>
      </c>
      <c r="CQ22" s="7">
        <f t="shared" si="73"/>
      </c>
      <c r="CR22" s="7">
        <f t="shared" si="74"/>
      </c>
      <c r="CS22" s="7">
        <f t="shared" si="75"/>
      </c>
      <c r="CT22" s="7">
        <f t="shared" si="76"/>
      </c>
      <c r="CU22" s="7">
        <f t="shared" si="77"/>
      </c>
      <c r="CV22" s="7">
        <f t="shared" si="78"/>
      </c>
      <c r="CW22" s="7">
        <f t="shared" si="79"/>
      </c>
      <c r="CX22" s="7">
        <f t="shared" si="80"/>
      </c>
      <c r="CY22" s="7">
        <f t="shared" si="81"/>
      </c>
      <c r="CZ22" s="7">
        <f t="shared" si="82"/>
      </c>
      <c r="DB22" s="7">
        <f t="shared" si="83"/>
      </c>
      <c r="DC22" s="7">
        <f t="shared" si="84"/>
      </c>
      <c r="DD22" s="7">
        <f t="shared" si="85"/>
      </c>
      <c r="DE22" s="7">
        <f t="shared" si="86"/>
      </c>
      <c r="DF22" s="7">
        <f t="shared" si="87"/>
      </c>
      <c r="DG22" s="7">
        <f t="shared" si="88"/>
      </c>
      <c r="DH22" s="7">
        <f t="shared" si="89"/>
      </c>
      <c r="DI22" s="7">
        <f t="shared" si="90"/>
      </c>
      <c r="DJ22" s="7">
        <f t="shared" si="91"/>
      </c>
      <c r="DK22" s="7">
        <f t="shared" si="92"/>
      </c>
    </row>
    <row r="23" spans="1:115" ht="11.25">
      <c r="A23" s="12"/>
      <c r="B23" s="12"/>
      <c r="C23" s="12">
        <f>IF(OR(Vtoc1="",ChV=""),"",ChV)</f>
        <v>0</v>
      </c>
      <c r="D23" s="12">
        <f>IF(OR(D$20="",$C23=""),"",EXP(D$38-D$20*(Bvtoc1-$C23)))</f>
        <v>0.6288029904108519</v>
      </c>
      <c r="E23" s="12">
        <f>IF(OR(E$20="",$C23=""),"",EXP(E$38-E$20*(Bvtoc1-$C23)))</f>
        <v>2.0232695305554986</v>
      </c>
      <c r="F23" s="12">
        <f aca="true" t="shared" si="96" ref="F23:L27">IF(OR(F$20="",$C23=""),"",EXP(F$38-F$20*(Bvtoc1-$C23)))</f>
        <v>0.4046410533539402</v>
      </c>
      <c r="G23" s="12">
        <f t="shared" si="96"/>
        <v>0.5552153012705316</v>
      </c>
      <c r="H23" s="12">
        <f t="shared" si="96"/>
      </c>
      <c r="I23" s="12">
        <f t="shared" si="96"/>
      </c>
      <c r="J23" s="12">
        <f t="shared" si="96"/>
      </c>
      <c r="K23" s="12">
        <f t="shared" si="96"/>
      </c>
      <c r="L23" s="12">
        <f t="shared" si="96"/>
      </c>
      <c r="M23" s="12">
        <f aca="true" t="shared" si="97" ref="M23:M37">IF(D23="","",SUM(D23:L23))</f>
        <v>3.6119288755908223</v>
      </c>
      <c r="P23" s="12">
        <f t="shared" si="12"/>
        <v>19.888888888888886</v>
      </c>
      <c r="Q23" s="12">
        <f t="shared" si="1"/>
        <v>1.1019511445016508</v>
      </c>
      <c r="R23" s="12">
        <f t="shared" si="2"/>
        <v>6.137598480476127</v>
      </c>
      <c r="S23" s="12">
        <f t="shared" si="3"/>
        <v>21.45501478344556</v>
      </c>
      <c r="T23" s="12">
        <f t="shared" si="4"/>
        <v>650.2592394699958</v>
      </c>
      <c r="U23" s="12">
        <f t="shared" si="5"/>
      </c>
      <c r="V23" s="12">
        <f t="shared" si="6"/>
      </c>
      <c r="W23" s="12">
        <f t="shared" si="7"/>
      </c>
      <c r="X23" s="12">
        <f t="shared" si="8"/>
      </c>
      <c r="Y23" s="12">
        <f t="shared" si="9"/>
      </c>
      <c r="Z23" s="12">
        <f t="shared" si="11"/>
        <v>678.9538038784192</v>
      </c>
      <c r="AB23" s="12"/>
      <c r="AC23" s="7">
        <f t="shared" si="13"/>
      </c>
      <c r="AD23" s="7">
        <f t="shared" si="14"/>
      </c>
      <c r="AE23" s="7">
        <f t="shared" si="15"/>
      </c>
      <c r="AF23" s="7">
        <f t="shared" si="16"/>
      </c>
      <c r="AG23" s="7">
        <f t="shared" si="17"/>
      </c>
      <c r="AH23" s="7">
        <f t="shared" si="18"/>
      </c>
      <c r="AI23" s="7">
        <f t="shared" si="19"/>
      </c>
      <c r="AJ23" s="7">
        <f t="shared" si="20"/>
      </c>
      <c r="AK23" s="7">
        <f t="shared" si="21"/>
      </c>
      <c r="AL23" s="7">
        <f t="shared" si="22"/>
      </c>
      <c r="AN23" s="7">
        <f t="shared" si="23"/>
      </c>
      <c r="AO23" s="7">
        <f t="shared" si="24"/>
      </c>
      <c r="AP23" s="7">
        <f t="shared" si="25"/>
      </c>
      <c r="AQ23" s="7">
        <f t="shared" si="26"/>
      </c>
      <c r="AR23" s="7">
        <f t="shared" si="27"/>
      </c>
      <c r="AS23" s="7">
        <f t="shared" si="28"/>
      </c>
      <c r="AT23" s="7">
        <f t="shared" si="29"/>
      </c>
      <c r="AU23" s="7">
        <f t="shared" si="30"/>
      </c>
      <c r="AV23" s="7">
        <f t="shared" si="31"/>
      </c>
      <c r="AW23" s="7">
        <f t="shared" si="32"/>
      </c>
      <c r="AY23" s="7">
        <f t="shared" si="33"/>
      </c>
      <c r="AZ23" s="7">
        <f t="shared" si="34"/>
      </c>
      <c r="BA23" s="7">
        <f t="shared" si="35"/>
      </c>
      <c r="BB23" s="7">
        <f t="shared" si="36"/>
      </c>
      <c r="BC23" s="7">
        <f t="shared" si="37"/>
      </c>
      <c r="BD23" s="7">
        <f t="shared" si="38"/>
      </c>
      <c r="BE23" s="7">
        <f t="shared" si="39"/>
      </c>
      <c r="BF23" s="7">
        <f t="shared" si="40"/>
      </c>
      <c r="BG23" s="7">
        <f t="shared" si="41"/>
      </c>
      <c r="BH23" s="7">
        <f t="shared" si="42"/>
      </c>
      <c r="BJ23" s="7">
        <f t="shared" si="43"/>
      </c>
      <c r="BK23" s="7">
        <f t="shared" si="44"/>
      </c>
      <c r="BL23" s="7">
        <f t="shared" si="45"/>
      </c>
      <c r="BM23" s="7">
        <f t="shared" si="46"/>
      </c>
      <c r="BN23" s="7">
        <f t="shared" si="47"/>
      </c>
      <c r="BO23" s="7">
        <f t="shared" si="48"/>
      </c>
      <c r="BP23" s="7">
        <f t="shared" si="49"/>
      </c>
      <c r="BQ23" s="7">
        <f t="shared" si="50"/>
      </c>
      <c r="BR23" s="7">
        <f t="shared" si="51"/>
      </c>
      <c r="BS23" s="7">
        <f t="shared" si="52"/>
      </c>
      <c r="BU23" s="7">
        <f t="shared" si="53"/>
      </c>
      <c r="BV23" s="7">
        <f t="shared" si="54"/>
      </c>
      <c r="BW23" s="7">
        <f t="shared" si="55"/>
      </c>
      <c r="BX23" s="7">
        <f t="shared" si="56"/>
      </c>
      <c r="BY23" s="7">
        <f t="shared" si="57"/>
      </c>
      <c r="BZ23" s="7">
        <f t="shared" si="58"/>
      </c>
      <c r="CA23" s="7">
        <f t="shared" si="59"/>
      </c>
      <c r="CB23" s="7">
        <f t="shared" si="60"/>
      </c>
      <c r="CC23" s="7">
        <f t="shared" si="61"/>
      </c>
      <c r="CD23" s="7">
        <f t="shared" si="62"/>
      </c>
      <c r="CF23" s="7">
        <f t="shared" si="63"/>
      </c>
      <c r="CG23" s="7">
        <f t="shared" si="64"/>
      </c>
      <c r="CH23" s="7">
        <f t="shared" si="65"/>
      </c>
      <c r="CI23" s="7">
        <f t="shared" si="66"/>
      </c>
      <c r="CJ23" s="7">
        <f t="shared" si="67"/>
      </c>
      <c r="CK23" s="7">
        <f t="shared" si="68"/>
      </c>
      <c r="CL23" s="7">
        <f t="shared" si="69"/>
      </c>
      <c r="CM23" s="7">
        <f t="shared" si="70"/>
      </c>
      <c r="CN23" s="7">
        <f t="shared" si="71"/>
      </c>
      <c r="CO23" s="7">
        <f t="shared" si="72"/>
      </c>
      <c r="CQ23" s="7">
        <f t="shared" si="73"/>
      </c>
      <c r="CR23" s="7">
        <f t="shared" si="74"/>
      </c>
      <c r="CS23" s="7">
        <f t="shared" si="75"/>
      </c>
      <c r="CT23" s="7">
        <f t="shared" si="76"/>
      </c>
      <c r="CU23" s="7">
        <f t="shared" si="77"/>
      </c>
      <c r="CV23" s="7">
        <f t="shared" si="78"/>
      </c>
      <c r="CW23" s="7">
        <f t="shared" si="79"/>
      </c>
      <c r="CX23" s="7">
        <f t="shared" si="80"/>
      </c>
      <c r="CY23" s="7">
        <f t="shared" si="81"/>
      </c>
      <c r="CZ23" s="7">
        <f t="shared" si="82"/>
      </c>
      <c r="DB23" s="7">
        <f t="shared" si="83"/>
      </c>
      <c r="DC23" s="7">
        <f t="shared" si="84"/>
      </c>
      <c r="DD23" s="7">
        <f t="shared" si="85"/>
      </c>
      <c r="DE23" s="7">
        <f t="shared" si="86"/>
      </c>
      <c r="DF23" s="7">
        <f t="shared" si="87"/>
      </c>
      <c r="DG23" s="7">
        <f t="shared" si="88"/>
      </c>
      <c r="DH23" s="7">
        <f t="shared" si="89"/>
      </c>
      <c r="DI23" s="7">
        <f t="shared" si="90"/>
      </c>
      <c r="DJ23" s="7">
        <f t="shared" si="91"/>
      </c>
      <c r="DK23" s="7">
        <f t="shared" si="92"/>
      </c>
    </row>
    <row r="24" spans="1:115" ht="11.25">
      <c r="A24" s="12"/>
      <c r="B24" s="17" t="s">
        <v>84</v>
      </c>
      <c r="C24" s="12">
        <f aca="true" t="shared" si="98" ref="C24:C37">IF(OR(Vtoc1="",ChV=""),"",ChV)</f>
        <v>1</v>
      </c>
      <c r="D24" s="12">
        <f aca="true" t="shared" si="99" ref="D24:E27">IF(OR(D$20="",$C24=""),"",EXP(D$38-D$20*(Bvtoc1-$C24)))</f>
        <v>2.1653168848151654</v>
      </c>
      <c r="E24" s="12">
        <f t="shared" si="99"/>
        <v>3.244815144923005</v>
      </c>
      <c r="F24" s="12">
        <f t="shared" si="96"/>
        <v>1.947662834090555</v>
      </c>
      <c r="G24" s="12">
        <f t="shared" si="96"/>
        <v>3.2736536645019005</v>
      </c>
      <c r="H24" s="12">
        <f t="shared" si="96"/>
      </c>
      <c r="I24" s="12">
        <f t="shared" si="96"/>
      </c>
      <c r="J24" s="12">
        <f t="shared" si="96"/>
      </c>
      <c r="K24" s="12">
        <f t="shared" si="96"/>
      </c>
      <c r="L24" s="12">
        <f t="shared" si="96"/>
      </c>
      <c r="M24" s="12">
        <f t="shared" si="97"/>
        <v>10.631448528330626</v>
      </c>
      <c r="P24" s="12">
        <f t="shared" si="12"/>
        <v>21.999999999999996</v>
      </c>
      <c r="Q24" s="12">
        <f t="shared" si="1"/>
        <v>0.8933166116489041</v>
      </c>
      <c r="R24" s="12">
        <f t="shared" si="2"/>
        <v>7.481911234812126</v>
      </c>
      <c r="S24" s="12">
        <f t="shared" si="3"/>
        <v>45.21882814260036</v>
      </c>
      <c r="T24" s="12">
        <f t="shared" si="4"/>
        <v>3366.449857522961</v>
      </c>
      <c r="U24" s="12">
        <f t="shared" si="5"/>
      </c>
      <c r="V24" s="12">
        <f t="shared" si="6"/>
      </c>
      <c r="W24" s="12">
        <f t="shared" si="7"/>
      </c>
      <c r="X24" s="12">
        <f t="shared" si="8"/>
      </c>
      <c r="Y24" s="12">
        <f t="shared" si="9"/>
      </c>
      <c r="Z24" s="12">
        <f t="shared" si="11"/>
        <v>3420.0439135120223</v>
      </c>
      <c r="AB24" s="12"/>
      <c r="AC24" s="7">
        <f t="shared" si="13"/>
      </c>
      <c r="AD24" s="7">
        <f t="shared" si="14"/>
      </c>
      <c r="AE24" s="7">
        <f t="shared" si="15"/>
      </c>
      <c r="AF24" s="7">
        <f t="shared" si="16"/>
      </c>
      <c r="AG24" s="7">
        <f t="shared" si="17"/>
      </c>
      <c r="AH24" s="7">
        <f t="shared" si="18"/>
      </c>
      <c r="AI24" s="7">
        <f t="shared" si="19"/>
      </c>
      <c r="AJ24" s="7">
        <f t="shared" si="20"/>
      </c>
      <c r="AK24" s="7">
        <f t="shared" si="21"/>
      </c>
      <c r="AL24" s="7">
        <f t="shared" si="22"/>
      </c>
      <c r="AN24" s="7">
        <f t="shared" si="23"/>
      </c>
      <c r="AO24" s="7">
        <f t="shared" si="24"/>
      </c>
      <c r="AP24" s="7">
        <f t="shared" si="25"/>
      </c>
      <c r="AQ24" s="7">
        <f t="shared" si="26"/>
      </c>
      <c r="AR24" s="7">
        <f t="shared" si="27"/>
      </c>
      <c r="AS24" s="7">
        <f t="shared" si="28"/>
      </c>
      <c r="AT24" s="7">
        <f t="shared" si="29"/>
      </c>
      <c r="AU24" s="7">
        <f t="shared" si="30"/>
      </c>
      <c r="AV24" s="7">
        <f t="shared" si="31"/>
      </c>
      <c r="AW24" s="7">
        <f t="shared" si="32"/>
      </c>
      <c r="AY24" s="7">
        <f t="shared" si="33"/>
      </c>
      <c r="AZ24" s="7">
        <f t="shared" si="34"/>
      </c>
      <c r="BA24" s="7">
        <f t="shared" si="35"/>
      </c>
      <c r="BB24" s="7">
        <f t="shared" si="36"/>
      </c>
      <c r="BC24" s="7">
        <f t="shared" si="37"/>
      </c>
      <c r="BD24" s="7">
        <f t="shared" si="38"/>
      </c>
      <c r="BE24" s="7">
        <f t="shared" si="39"/>
      </c>
      <c r="BF24" s="7">
        <f t="shared" si="40"/>
      </c>
      <c r="BG24" s="7">
        <f t="shared" si="41"/>
      </c>
      <c r="BH24" s="7">
        <f t="shared" si="42"/>
      </c>
      <c r="BJ24" s="7">
        <f t="shared" si="43"/>
      </c>
      <c r="BK24" s="7">
        <f t="shared" si="44"/>
      </c>
      <c r="BL24" s="7">
        <f t="shared" si="45"/>
      </c>
      <c r="BM24" s="7">
        <f t="shared" si="46"/>
      </c>
      <c r="BN24" s="7">
        <f t="shared" si="47"/>
      </c>
      <c r="BO24" s="7">
        <f t="shared" si="48"/>
      </c>
      <c r="BP24" s="7">
        <f t="shared" si="49"/>
      </c>
      <c r="BQ24" s="7">
        <f t="shared" si="50"/>
      </c>
      <c r="BR24" s="7">
        <f t="shared" si="51"/>
      </c>
      <c r="BS24" s="7">
        <f t="shared" si="52"/>
      </c>
      <c r="BU24" s="7">
        <f t="shared" si="53"/>
      </c>
      <c r="BV24" s="7">
        <f t="shared" si="54"/>
      </c>
      <c r="BW24" s="7">
        <f t="shared" si="55"/>
      </c>
      <c r="BX24" s="7">
        <f t="shared" si="56"/>
      </c>
      <c r="BY24" s="7">
        <f t="shared" si="57"/>
      </c>
      <c r="BZ24" s="7">
        <f t="shared" si="58"/>
      </c>
      <c r="CA24" s="7">
        <f t="shared" si="59"/>
      </c>
      <c r="CB24" s="7">
        <f t="shared" si="60"/>
      </c>
      <c r="CC24" s="7">
        <f t="shared" si="61"/>
      </c>
      <c r="CD24" s="7">
        <f t="shared" si="62"/>
      </c>
      <c r="CF24" s="7">
        <f t="shared" si="63"/>
      </c>
      <c r="CG24" s="7">
        <f t="shared" si="64"/>
      </c>
      <c r="CH24" s="7">
        <f t="shared" si="65"/>
      </c>
      <c r="CI24" s="7">
        <f t="shared" si="66"/>
      </c>
      <c r="CJ24" s="7">
        <f t="shared" si="67"/>
      </c>
      <c r="CK24" s="7">
        <f t="shared" si="68"/>
      </c>
      <c r="CL24" s="7">
        <f t="shared" si="69"/>
      </c>
      <c r="CM24" s="7">
        <f t="shared" si="70"/>
      </c>
      <c r="CN24" s="7">
        <f t="shared" si="71"/>
      </c>
      <c r="CO24" s="7">
        <f t="shared" si="72"/>
      </c>
      <c r="CQ24" s="7">
        <f t="shared" si="73"/>
      </c>
      <c r="CR24" s="7">
        <f t="shared" si="74"/>
      </c>
      <c r="CS24" s="7">
        <f t="shared" si="75"/>
      </c>
      <c r="CT24" s="7">
        <f t="shared" si="76"/>
      </c>
      <c r="CU24" s="7">
        <f t="shared" si="77"/>
      </c>
      <c r="CV24" s="7">
        <f t="shared" si="78"/>
      </c>
      <c r="CW24" s="7">
        <f t="shared" si="79"/>
      </c>
      <c r="CX24" s="7">
        <f t="shared" si="80"/>
      </c>
      <c r="CY24" s="7">
        <f t="shared" si="81"/>
      </c>
      <c r="CZ24" s="7">
        <f t="shared" si="82"/>
      </c>
      <c r="DB24" s="7">
        <f t="shared" si="83"/>
      </c>
      <c r="DC24" s="7">
        <f t="shared" si="84"/>
      </c>
      <c r="DD24" s="7">
        <f t="shared" si="85"/>
      </c>
      <c r="DE24" s="7">
        <f t="shared" si="86"/>
      </c>
      <c r="DF24" s="7">
        <f t="shared" si="87"/>
      </c>
      <c r="DG24" s="7">
        <f t="shared" si="88"/>
      </c>
      <c r="DH24" s="7">
        <f t="shared" si="89"/>
      </c>
      <c r="DI24" s="7">
        <f t="shared" si="90"/>
      </c>
      <c r="DJ24" s="7">
        <f t="shared" si="91"/>
      </c>
      <c r="DK24" s="7">
        <f t="shared" si="92"/>
      </c>
    </row>
    <row r="25" spans="1:115" ht="11.25">
      <c r="A25" s="12"/>
      <c r="B25" s="17" t="s">
        <v>30</v>
      </c>
      <c r="C25" s="12">
        <f t="shared" si="98"/>
      </c>
      <c r="D25" s="12">
        <f t="shared" si="99"/>
      </c>
      <c r="E25" s="12">
        <f t="shared" si="99"/>
      </c>
      <c r="F25" s="12">
        <f t="shared" si="96"/>
      </c>
      <c r="G25" s="12">
        <f t="shared" si="96"/>
      </c>
      <c r="H25" s="12">
        <f t="shared" si="96"/>
      </c>
      <c r="I25" s="12">
        <f t="shared" si="96"/>
      </c>
      <c r="J25" s="12">
        <f t="shared" si="96"/>
      </c>
      <c r="K25" s="12">
        <f t="shared" si="96"/>
      </c>
      <c r="L25" s="12">
        <f t="shared" si="96"/>
      </c>
      <c r="M25" s="12">
        <f t="shared" si="97"/>
      </c>
      <c r="P25" s="12">
        <f t="shared" si="12"/>
      </c>
      <c r="Q25" s="12">
        <f t="shared" si="1"/>
      </c>
      <c r="R25" s="12">
        <f t="shared" si="2"/>
      </c>
      <c r="S25" s="12">
        <f t="shared" si="3"/>
      </c>
      <c r="T25" s="12">
        <f t="shared" si="4"/>
      </c>
      <c r="U25" s="12">
        <f t="shared" si="5"/>
      </c>
      <c r="V25" s="12">
        <f t="shared" si="6"/>
      </c>
      <c r="W25" s="12">
        <f t="shared" si="7"/>
      </c>
      <c r="X25" s="12">
        <f t="shared" si="8"/>
      </c>
      <c r="Y25" s="12">
        <f t="shared" si="9"/>
      </c>
      <c r="Z25" s="12">
        <f t="shared" si="11"/>
      </c>
      <c r="AB25" s="12"/>
      <c r="AC25" s="7">
        <f t="shared" si="13"/>
      </c>
      <c r="AD25" s="7">
        <f t="shared" si="14"/>
      </c>
      <c r="AE25" s="7">
        <f t="shared" si="15"/>
      </c>
      <c r="AF25" s="7">
        <f t="shared" si="16"/>
      </c>
      <c r="AG25" s="7">
        <f t="shared" si="17"/>
      </c>
      <c r="AH25" s="7">
        <f t="shared" si="18"/>
      </c>
      <c r="AI25" s="7">
        <f t="shared" si="19"/>
      </c>
      <c r="AJ25" s="7">
        <f t="shared" si="20"/>
      </c>
      <c r="AK25" s="7">
        <f t="shared" si="21"/>
      </c>
      <c r="AL25" s="7">
        <f t="shared" si="22"/>
      </c>
      <c r="AN25" s="7">
        <f t="shared" si="23"/>
      </c>
      <c r="AO25" s="7">
        <f t="shared" si="24"/>
      </c>
      <c r="AP25" s="7">
        <f t="shared" si="25"/>
      </c>
      <c r="AQ25" s="7">
        <f t="shared" si="26"/>
      </c>
      <c r="AR25" s="7">
        <f t="shared" si="27"/>
      </c>
      <c r="AS25" s="7">
        <f t="shared" si="28"/>
      </c>
      <c r="AT25" s="7">
        <f t="shared" si="29"/>
      </c>
      <c r="AU25" s="7">
        <f t="shared" si="30"/>
      </c>
      <c r="AV25" s="7">
        <f t="shared" si="31"/>
      </c>
      <c r="AW25" s="7">
        <f t="shared" si="32"/>
      </c>
      <c r="AY25" s="7">
        <f t="shared" si="33"/>
      </c>
      <c r="AZ25" s="7">
        <f t="shared" si="34"/>
      </c>
      <c r="BA25" s="7">
        <f t="shared" si="35"/>
      </c>
      <c r="BB25" s="7">
        <f t="shared" si="36"/>
      </c>
      <c r="BC25" s="7">
        <f t="shared" si="37"/>
      </c>
      <c r="BD25" s="7">
        <f t="shared" si="38"/>
      </c>
      <c r="BE25" s="7">
        <f t="shared" si="39"/>
      </c>
      <c r="BF25" s="7">
        <f t="shared" si="40"/>
      </c>
      <c r="BG25" s="7">
        <f t="shared" si="41"/>
      </c>
      <c r="BH25" s="7">
        <f t="shared" si="42"/>
      </c>
      <c r="BJ25" s="7">
        <f t="shared" si="43"/>
      </c>
      <c r="BK25" s="7">
        <f t="shared" si="44"/>
      </c>
      <c r="BL25" s="7">
        <f t="shared" si="45"/>
      </c>
      <c r="BM25" s="7">
        <f t="shared" si="46"/>
      </c>
      <c r="BN25" s="7">
        <f t="shared" si="47"/>
      </c>
      <c r="BO25" s="7">
        <f t="shared" si="48"/>
      </c>
      <c r="BP25" s="7">
        <f t="shared" si="49"/>
      </c>
      <c r="BQ25" s="7">
        <f t="shared" si="50"/>
      </c>
      <c r="BR25" s="7">
        <f t="shared" si="51"/>
      </c>
      <c r="BS25" s="7">
        <f t="shared" si="52"/>
      </c>
      <c r="BU25" s="7">
        <f t="shared" si="53"/>
      </c>
      <c r="BV25" s="7">
        <f t="shared" si="54"/>
      </c>
      <c r="BW25" s="7">
        <f t="shared" si="55"/>
      </c>
      <c r="BX25" s="7">
        <f t="shared" si="56"/>
      </c>
      <c r="BY25" s="7">
        <f t="shared" si="57"/>
      </c>
      <c r="BZ25" s="7">
        <f t="shared" si="58"/>
      </c>
      <c r="CA25" s="7">
        <f t="shared" si="59"/>
      </c>
      <c r="CB25" s="7">
        <f t="shared" si="60"/>
      </c>
      <c r="CC25" s="7">
        <f t="shared" si="61"/>
      </c>
      <c r="CD25" s="7">
        <f t="shared" si="62"/>
      </c>
      <c r="CF25" s="7">
        <f t="shared" si="63"/>
      </c>
      <c r="CG25" s="7">
        <f t="shared" si="64"/>
      </c>
      <c r="CH25" s="7">
        <f t="shared" si="65"/>
      </c>
      <c r="CI25" s="7">
        <f t="shared" si="66"/>
      </c>
      <c r="CJ25" s="7">
        <f t="shared" si="67"/>
      </c>
      <c r="CK25" s="7">
        <f t="shared" si="68"/>
      </c>
      <c r="CL25" s="7">
        <f t="shared" si="69"/>
      </c>
      <c r="CM25" s="7">
        <f t="shared" si="70"/>
      </c>
      <c r="CN25" s="7">
        <f t="shared" si="71"/>
      </c>
      <c r="CO25" s="7">
        <f t="shared" si="72"/>
      </c>
      <c r="CQ25" s="7">
        <f t="shared" si="73"/>
      </c>
      <c r="CR25" s="7">
        <f t="shared" si="74"/>
      </c>
      <c r="CS25" s="7">
        <f t="shared" si="75"/>
      </c>
      <c r="CT25" s="7">
        <f t="shared" si="76"/>
      </c>
      <c r="CU25" s="7">
        <f t="shared" si="77"/>
      </c>
      <c r="CV25" s="7">
        <f t="shared" si="78"/>
      </c>
      <c r="CW25" s="7">
        <f t="shared" si="79"/>
      </c>
      <c r="CX25" s="7">
        <f t="shared" si="80"/>
      </c>
      <c r="CY25" s="7">
        <f t="shared" si="81"/>
      </c>
      <c r="CZ25" s="7">
        <f t="shared" si="82"/>
      </c>
      <c r="DB25" s="7">
        <f t="shared" si="83"/>
      </c>
      <c r="DC25" s="7">
        <f t="shared" si="84"/>
      </c>
      <c r="DD25" s="7">
        <f t="shared" si="85"/>
      </c>
      <c r="DE25" s="7">
        <f t="shared" si="86"/>
      </c>
      <c r="DF25" s="7">
        <f t="shared" si="87"/>
      </c>
      <c r="DG25" s="7">
        <f t="shared" si="88"/>
      </c>
      <c r="DH25" s="7">
        <f t="shared" si="89"/>
      </c>
      <c r="DI25" s="7">
        <f t="shared" si="90"/>
      </c>
      <c r="DJ25" s="7">
        <f t="shared" si="91"/>
      </c>
      <c r="DK25" s="7">
        <f t="shared" si="92"/>
      </c>
    </row>
    <row r="26" spans="1:115" ht="11.25">
      <c r="A26" s="12"/>
      <c r="B26" s="17" t="s">
        <v>73</v>
      </c>
      <c r="C26" s="12">
        <f t="shared" si="98"/>
      </c>
      <c r="D26" s="12">
        <f t="shared" si="99"/>
      </c>
      <c r="E26" s="12">
        <f t="shared" si="99"/>
      </c>
      <c r="F26" s="12">
        <f t="shared" si="96"/>
      </c>
      <c r="G26" s="12">
        <f t="shared" si="96"/>
      </c>
      <c r="H26" s="12">
        <f t="shared" si="96"/>
      </c>
      <c r="I26" s="12">
        <f t="shared" si="96"/>
      </c>
      <c r="J26" s="12">
        <f t="shared" si="96"/>
      </c>
      <c r="K26" s="12">
        <f t="shared" si="96"/>
      </c>
      <c r="L26" s="12">
        <f t="shared" si="96"/>
      </c>
      <c r="M26" s="12">
        <f t="shared" si="97"/>
      </c>
      <c r="P26" s="12">
        <f t="shared" si="12"/>
      </c>
      <c r="Q26" s="12">
        <f t="shared" si="1"/>
      </c>
      <c r="R26" s="12">
        <f t="shared" si="2"/>
      </c>
      <c r="S26" s="12">
        <f t="shared" si="3"/>
      </c>
      <c r="T26" s="12">
        <f t="shared" si="4"/>
      </c>
      <c r="U26" s="12">
        <f t="shared" si="5"/>
      </c>
      <c r="V26" s="12">
        <f t="shared" si="6"/>
      </c>
      <c r="W26" s="12">
        <f t="shared" si="7"/>
      </c>
      <c r="X26" s="12">
        <f t="shared" si="8"/>
      </c>
      <c r="Y26" s="12">
        <f t="shared" si="9"/>
      </c>
      <c r="Z26" s="12">
        <f t="shared" si="11"/>
      </c>
      <c r="AB26" s="12"/>
      <c r="AC26" s="7">
        <f t="shared" si="13"/>
      </c>
      <c r="AD26" s="7">
        <f t="shared" si="14"/>
      </c>
      <c r="AE26" s="7">
        <f t="shared" si="15"/>
      </c>
      <c r="AF26" s="7">
        <f t="shared" si="16"/>
      </c>
      <c r="AG26" s="7">
        <f t="shared" si="17"/>
      </c>
      <c r="AH26" s="7">
        <f t="shared" si="18"/>
      </c>
      <c r="AI26" s="7">
        <f t="shared" si="19"/>
      </c>
      <c r="AJ26" s="7">
        <f t="shared" si="20"/>
      </c>
      <c r="AK26" s="7">
        <f t="shared" si="21"/>
      </c>
      <c r="AL26" s="7">
        <f t="shared" si="22"/>
      </c>
      <c r="AN26" s="7">
        <f t="shared" si="23"/>
      </c>
      <c r="AO26" s="7">
        <f t="shared" si="24"/>
      </c>
      <c r="AP26" s="7">
        <f t="shared" si="25"/>
      </c>
      <c r="AQ26" s="7">
        <f t="shared" si="26"/>
      </c>
      <c r="AR26" s="7">
        <f t="shared" si="27"/>
      </c>
      <c r="AS26" s="7">
        <f t="shared" si="28"/>
      </c>
      <c r="AT26" s="7">
        <f t="shared" si="29"/>
      </c>
      <c r="AU26" s="7">
        <f t="shared" si="30"/>
      </c>
      <c r="AV26" s="7">
        <f t="shared" si="31"/>
      </c>
      <c r="AW26" s="7">
        <f t="shared" si="32"/>
      </c>
      <c r="AY26" s="7">
        <f t="shared" si="33"/>
      </c>
      <c r="AZ26" s="7">
        <f t="shared" si="34"/>
      </c>
      <c r="BA26" s="7">
        <f t="shared" si="35"/>
      </c>
      <c r="BB26" s="7">
        <f t="shared" si="36"/>
      </c>
      <c r="BC26" s="7">
        <f t="shared" si="37"/>
      </c>
      <c r="BD26" s="7">
        <f t="shared" si="38"/>
      </c>
      <c r="BE26" s="7">
        <f t="shared" si="39"/>
      </c>
      <c r="BF26" s="7">
        <f t="shared" si="40"/>
      </c>
      <c r="BG26" s="7">
        <f t="shared" si="41"/>
      </c>
      <c r="BH26" s="7">
        <f t="shared" si="42"/>
      </c>
      <c r="BJ26" s="7">
        <f t="shared" si="43"/>
      </c>
      <c r="BK26" s="7">
        <f t="shared" si="44"/>
      </c>
      <c r="BL26" s="7">
        <f t="shared" si="45"/>
      </c>
      <c r="BM26" s="7">
        <f t="shared" si="46"/>
      </c>
      <c r="BN26" s="7">
        <f t="shared" si="47"/>
      </c>
      <c r="BO26" s="7">
        <f t="shared" si="48"/>
      </c>
      <c r="BP26" s="7">
        <f t="shared" si="49"/>
      </c>
      <c r="BQ26" s="7">
        <f t="shared" si="50"/>
      </c>
      <c r="BR26" s="7">
        <f t="shared" si="51"/>
      </c>
      <c r="BS26" s="7">
        <f t="shared" si="52"/>
      </c>
      <c r="BU26" s="7">
        <f t="shared" si="53"/>
      </c>
      <c r="BV26" s="7">
        <f t="shared" si="54"/>
      </c>
      <c r="BW26" s="7">
        <f t="shared" si="55"/>
      </c>
      <c r="BX26" s="7">
        <f t="shared" si="56"/>
      </c>
      <c r="BY26" s="7">
        <f t="shared" si="57"/>
      </c>
      <c r="BZ26" s="7">
        <f t="shared" si="58"/>
      </c>
      <c r="CA26" s="7">
        <f t="shared" si="59"/>
      </c>
      <c r="CB26" s="7">
        <f t="shared" si="60"/>
      </c>
      <c r="CC26" s="7">
        <f t="shared" si="61"/>
      </c>
      <c r="CD26" s="7">
        <f t="shared" si="62"/>
      </c>
      <c r="CF26" s="7">
        <f t="shared" si="63"/>
      </c>
      <c r="CG26" s="7">
        <f t="shared" si="64"/>
      </c>
      <c r="CH26" s="7">
        <f t="shared" si="65"/>
      </c>
      <c r="CI26" s="7">
        <f t="shared" si="66"/>
      </c>
      <c r="CJ26" s="7">
        <f t="shared" si="67"/>
      </c>
      <c r="CK26" s="7">
        <f t="shared" si="68"/>
      </c>
      <c r="CL26" s="7">
        <f t="shared" si="69"/>
      </c>
      <c r="CM26" s="7">
        <f t="shared" si="70"/>
      </c>
      <c r="CN26" s="7">
        <f t="shared" si="71"/>
      </c>
      <c r="CO26" s="7">
        <f t="shared" si="72"/>
      </c>
      <c r="CQ26" s="7">
        <f t="shared" si="73"/>
      </c>
      <c r="CR26" s="7">
        <f t="shared" si="74"/>
      </c>
      <c r="CS26" s="7">
        <f t="shared" si="75"/>
      </c>
      <c r="CT26" s="7">
        <f t="shared" si="76"/>
      </c>
      <c r="CU26" s="7">
        <f t="shared" si="77"/>
      </c>
      <c r="CV26" s="7">
        <f t="shared" si="78"/>
      </c>
      <c r="CW26" s="7">
        <f t="shared" si="79"/>
      </c>
      <c r="CX26" s="7">
        <f t="shared" si="80"/>
      </c>
      <c r="CY26" s="7">
        <f t="shared" si="81"/>
      </c>
      <c r="CZ26" s="7">
        <f t="shared" si="82"/>
      </c>
      <c r="DB26" s="7">
        <f t="shared" si="83"/>
      </c>
      <c r="DC26" s="7">
        <f t="shared" si="84"/>
      </c>
      <c r="DD26" s="7">
        <f t="shared" si="85"/>
      </c>
      <c r="DE26" s="7">
        <f t="shared" si="86"/>
      </c>
      <c r="DF26" s="7">
        <f t="shared" si="87"/>
      </c>
      <c r="DG26" s="7">
        <f t="shared" si="88"/>
      </c>
      <c r="DH26" s="7">
        <f t="shared" si="89"/>
      </c>
      <c r="DI26" s="7">
        <f t="shared" si="90"/>
      </c>
      <c r="DJ26" s="7">
        <f t="shared" si="91"/>
      </c>
      <c r="DK26" s="7">
        <f t="shared" si="92"/>
      </c>
    </row>
    <row r="27" spans="1:115" ht="11.25">
      <c r="A27" s="12"/>
      <c r="B27" s="18"/>
      <c r="C27" s="11">
        <f t="shared" si="98"/>
      </c>
      <c r="D27" s="11">
        <f t="shared" si="99"/>
      </c>
      <c r="E27" s="11">
        <f t="shared" si="99"/>
      </c>
      <c r="F27" s="11">
        <f t="shared" si="96"/>
      </c>
      <c r="G27" s="11">
        <f t="shared" si="96"/>
      </c>
      <c r="H27" s="11">
        <f t="shared" si="96"/>
      </c>
      <c r="I27" s="11">
        <f t="shared" si="96"/>
      </c>
      <c r="J27" s="11">
        <f t="shared" si="96"/>
      </c>
      <c r="K27" s="11">
        <f t="shared" si="96"/>
      </c>
      <c r="L27" s="11">
        <f t="shared" si="96"/>
      </c>
      <c r="M27" s="11">
        <f t="shared" si="97"/>
      </c>
      <c r="P27" s="12">
        <f t="shared" si="12"/>
      </c>
      <c r="Q27" s="12">
        <f t="shared" si="1"/>
      </c>
      <c r="R27" s="12">
        <f t="shared" si="2"/>
      </c>
      <c r="S27" s="12">
        <f t="shared" si="3"/>
      </c>
      <c r="T27" s="12">
        <f t="shared" si="4"/>
      </c>
      <c r="U27" s="12">
        <f t="shared" si="5"/>
      </c>
      <c r="V27" s="12">
        <f t="shared" si="6"/>
      </c>
      <c r="W27" s="12">
        <f t="shared" si="7"/>
      </c>
      <c r="X27" s="12">
        <f t="shared" si="8"/>
      </c>
      <c r="Y27" s="12">
        <f t="shared" si="9"/>
      </c>
      <c r="Z27" s="12">
        <f t="shared" si="11"/>
      </c>
      <c r="AB27" s="12"/>
      <c r="AC27" s="7">
        <f t="shared" si="13"/>
      </c>
      <c r="AD27" s="7">
        <f t="shared" si="14"/>
      </c>
      <c r="AE27" s="7">
        <f t="shared" si="15"/>
      </c>
      <c r="AF27" s="7">
        <f t="shared" si="16"/>
      </c>
      <c r="AG27" s="7">
        <f t="shared" si="17"/>
      </c>
      <c r="AH27" s="7">
        <f t="shared" si="18"/>
      </c>
      <c r="AI27" s="7">
        <f t="shared" si="19"/>
      </c>
      <c r="AJ27" s="7">
        <f t="shared" si="20"/>
      </c>
      <c r="AK27" s="7">
        <f t="shared" si="21"/>
      </c>
      <c r="AL27" s="7">
        <f t="shared" si="22"/>
      </c>
      <c r="AN27" s="7">
        <f t="shared" si="23"/>
      </c>
      <c r="AO27" s="7">
        <f t="shared" si="24"/>
      </c>
      <c r="AP27" s="7">
        <f t="shared" si="25"/>
      </c>
      <c r="AQ27" s="7">
        <f t="shared" si="26"/>
      </c>
      <c r="AR27" s="7">
        <f t="shared" si="27"/>
      </c>
      <c r="AS27" s="7">
        <f t="shared" si="28"/>
      </c>
      <c r="AT27" s="7">
        <f t="shared" si="29"/>
      </c>
      <c r="AU27" s="7">
        <f t="shared" si="30"/>
      </c>
      <c r="AV27" s="7">
        <f t="shared" si="31"/>
      </c>
      <c r="AW27" s="7">
        <f t="shared" si="32"/>
      </c>
      <c r="AY27" s="7">
        <f t="shared" si="33"/>
      </c>
      <c r="AZ27" s="7">
        <f t="shared" si="34"/>
      </c>
      <c r="BA27" s="7">
        <f t="shared" si="35"/>
      </c>
      <c r="BB27" s="7">
        <f t="shared" si="36"/>
      </c>
      <c r="BC27" s="7">
        <f t="shared" si="37"/>
      </c>
      <c r="BD27" s="7">
        <f t="shared" si="38"/>
      </c>
      <c r="BE27" s="7">
        <f t="shared" si="39"/>
      </c>
      <c r="BF27" s="7">
        <f t="shared" si="40"/>
      </c>
      <c r="BG27" s="7">
        <f t="shared" si="41"/>
      </c>
      <c r="BH27" s="7">
        <f t="shared" si="42"/>
      </c>
      <c r="BJ27" s="7">
        <f t="shared" si="43"/>
      </c>
      <c r="BK27" s="7">
        <f t="shared" si="44"/>
      </c>
      <c r="BL27" s="7">
        <f t="shared" si="45"/>
      </c>
      <c r="BM27" s="7">
        <f t="shared" si="46"/>
      </c>
      <c r="BN27" s="7">
        <f t="shared" si="47"/>
      </c>
      <c r="BO27" s="7">
        <f t="shared" si="48"/>
      </c>
      <c r="BP27" s="7">
        <f t="shared" si="49"/>
      </c>
      <c r="BQ27" s="7">
        <f t="shared" si="50"/>
      </c>
      <c r="BR27" s="7">
        <f t="shared" si="51"/>
      </c>
      <c r="BS27" s="7">
        <f t="shared" si="52"/>
      </c>
      <c r="BU27" s="7">
        <f t="shared" si="53"/>
      </c>
      <c r="BV27" s="7">
        <f t="shared" si="54"/>
      </c>
      <c r="BW27" s="7">
        <f t="shared" si="55"/>
      </c>
      <c r="BX27" s="7">
        <f t="shared" si="56"/>
      </c>
      <c r="BY27" s="7">
        <f t="shared" si="57"/>
      </c>
      <c r="BZ27" s="7">
        <f t="shared" si="58"/>
      </c>
      <c r="CA27" s="7">
        <f t="shared" si="59"/>
      </c>
      <c r="CB27" s="7">
        <f t="shared" si="60"/>
      </c>
      <c r="CC27" s="7">
        <f t="shared" si="61"/>
      </c>
      <c r="CD27" s="7">
        <f t="shared" si="62"/>
      </c>
      <c r="CF27" s="7">
        <f t="shared" si="63"/>
      </c>
      <c r="CG27" s="7">
        <f t="shared" si="64"/>
      </c>
      <c r="CH27" s="7">
        <f t="shared" si="65"/>
      </c>
      <c r="CI27" s="7">
        <f t="shared" si="66"/>
      </c>
      <c r="CJ27" s="7">
        <f t="shared" si="67"/>
      </c>
      <c r="CK27" s="7">
        <f t="shared" si="68"/>
      </c>
      <c r="CL27" s="7">
        <f t="shared" si="69"/>
      </c>
      <c r="CM27" s="7">
        <f t="shared" si="70"/>
      </c>
      <c r="CN27" s="7">
        <f t="shared" si="71"/>
      </c>
      <c r="CO27" s="7">
        <f t="shared" si="72"/>
      </c>
      <c r="CQ27" s="7">
        <f t="shared" si="73"/>
      </c>
      <c r="CR27" s="7">
        <f t="shared" si="74"/>
      </c>
      <c r="CS27" s="7">
        <f t="shared" si="75"/>
      </c>
      <c r="CT27" s="7">
        <f t="shared" si="76"/>
      </c>
      <c r="CU27" s="7">
        <f t="shared" si="77"/>
      </c>
      <c r="CV27" s="7">
        <f t="shared" si="78"/>
      </c>
      <c r="CW27" s="7">
        <f t="shared" si="79"/>
      </c>
      <c r="CX27" s="7">
        <f t="shared" si="80"/>
      </c>
      <c r="CY27" s="7">
        <f t="shared" si="81"/>
      </c>
      <c r="CZ27" s="7">
        <f t="shared" si="82"/>
      </c>
      <c r="DB27" s="7">
        <f t="shared" si="83"/>
      </c>
      <c r="DC27" s="7">
        <f t="shared" si="84"/>
      </c>
      <c r="DD27" s="7">
        <f t="shared" si="85"/>
      </c>
      <c r="DE27" s="7">
        <f t="shared" si="86"/>
      </c>
      <c r="DF27" s="7">
        <f t="shared" si="87"/>
      </c>
      <c r="DG27" s="7">
        <f t="shared" si="88"/>
      </c>
      <c r="DH27" s="7">
        <f t="shared" si="89"/>
      </c>
      <c r="DI27" s="7">
        <f t="shared" si="90"/>
      </c>
      <c r="DJ27" s="7">
        <f t="shared" si="91"/>
      </c>
      <c r="DK27" s="7">
        <f t="shared" si="92"/>
      </c>
    </row>
    <row r="28" spans="1:115" ht="11.25">
      <c r="A28" s="12"/>
      <c r="B28" s="17"/>
      <c r="C28" s="12">
        <f t="shared" si="98"/>
        <v>3</v>
      </c>
      <c r="D28" s="12">
        <f>IF(OR(D$21="",C28=""),"",EXP(D$38-D$21*(Bvtoc2-$C28)))</f>
        <v>5.90769115382506</v>
      </c>
      <c r="E28" s="12">
        <f>IF(OR(E$21="",$C28=""),"",EXP(E$38-E$21*(Bvtoc2-$C28)))</f>
        <v>1.258594562750629</v>
      </c>
      <c r="F28" s="12">
        <f aca="true" t="shared" si="100" ref="F28:L32">IF(OR(F$21="",$C28=""),"",EXP(F$38-F$21*(Bvtoc2-$C28)))</f>
        <v>0.055106767508581754</v>
      </c>
      <c r="G28" s="12">
        <f t="shared" si="100"/>
        <v>0.0012600900571201569</v>
      </c>
      <c r="H28" s="12">
        <f t="shared" si="100"/>
      </c>
      <c r="I28" s="12">
        <f t="shared" si="100"/>
      </c>
      <c r="J28" s="12">
        <f t="shared" si="100"/>
      </c>
      <c r="K28" s="12">
        <f t="shared" si="100"/>
      </c>
      <c r="L28" s="12">
        <f t="shared" si="100"/>
      </c>
      <c r="M28" s="12">
        <f t="shared" si="97"/>
        <v>7.2226525741413905</v>
      </c>
      <c r="P28" s="12">
        <f t="shared" si="12"/>
      </c>
      <c r="Q28" s="12">
        <f t="shared" si="1"/>
      </c>
      <c r="R28" s="12">
        <f t="shared" si="2"/>
      </c>
      <c r="S28" s="12">
        <f t="shared" si="3"/>
      </c>
      <c r="T28" s="12">
        <f t="shared" si="4"/>
      </c>
      <c r="U28" s="12">
        <f t="shared" si="5"/>
      </c>
      <c r="V28" s="12">
        <f t="shared" si="6"/>
      </c>
      <c r="W28" s="12">
        <f t="shared" si="7"/>
      </c>
      <c r="X28" s="12">
        <f t="shared" si="8"/>
      </c>
      <c r="Y28" s="12">
        <f t="shared" si="9"/>
      </c>
      <c r="Z28" s="12">
        <f t="shared" si="11"/>
      </c>
      <c r="AB28" s="12"/>
      <c r="AC28" s="7">
        <f t="shared" si="13"/>
      </c>
      <c r="AD28" s="7">
        <f t="shared" si="14"/>
      </c>
      <c r="AE28" s="7">
        <f t="shared" si="15"/>
      </c>
      <c r="AF28" s="7">
        <f t="shared" si="16"/>
      </c>
      <c r="AG28" s="7">
        <f t="shared" si="17"/>
      </c>
      <c r="AH28" s="7">
        <f t="shared" si="18"/>
      </c>
      <c r="AI28" s="7">
        <f t="shared" si="19"/>
      </c>
      <c r="AJ28" s="7">
        <f t="shared" si="20"/>
      </c>
      <c r="AK28" s="7">
        <f t="shared" si="21"/>
      </c>
      <c r="AL28" s="7">
        <f t="shared" si="22"/>
      </c>
      <c r="AN28" s="7">
        <f t="shared" si="23"/>
      </c>
      <c r="AO28" s="7">
        <f t="shared" si="24"/>
      </c>
      <c r="AP28" s="7">
        <f t="shared" si="25"/>
      </c>
      <c r="AQ28" s="7">
        <f t="shared" si="26"/>
      </c>
      <c r="AR28" s="7">
        <f t="shared" si="27"/>
      </c>
      <c r="AS28" s="7">
        <f t="shared" si="28"/>
      </c>
      <c r="AT28" s="7">
        <f t="shared" si="29"/>
      </c>
      <c r="AU28" s="7">
        <f t="shared" si="30"/>
      </c>
      <c r="AV28" s="7">
        <f t="shared" si="31"/>
      </c>
      <c r="AW28" s="7">
        <f t="shared" si="32"/>
      </c>
      <c r="AY28" s="7">
        <f t="shared" si="33"/>
      </c>
      <c r="AZ28" s="7">
        <f t="shared" si="34"/>
      </c>
      <c r="BA28" s="7">
        <f t="shared" si="35"/>
      </c>
      <c r="BB28" s="7">
        <f t="shared" si="36"/>
      </c>
      <c r="BC28" s="7">
        <f t="shared" si="37"/>
      </c>
      <c r="BD28" s="7">
        <f t="shared" si="38"/>
      </c>
      <c r="BE28" s="7">
        <f t="shared" si="39"/>
      </c>
      <c r="BF28" s="7">
        <f t="shared" si="40"/>
      </c>
      <c r="BG28" s="7">
        <f t="shared" si="41"/>
      </c>
      <c r="BH28" s="7">
        <f t="shared" si="42"/>
      </c>
      <c r="BJ28" s="7">
        <f t="shared" si="43"/>
      </c>
      <c r="BK28" s="7">
        <f t="shared" si="44"/>
      </c>
      <c r="BL28" s="7">
        <f t="shared" si="45"/>
      </c>
      <c r="BM28" s="7">
        <f t="shared" si="46"/>
      </c>
      <c r="BN28" s="7">
        <f t="shared" si="47"/>
      </c>
      <c r="BO28" s="7">
        <f t="shared" si="48"/>
      </c>
      <c r="BP28" s="7">
        <f t="shared" si="49"/>
      </c>
      <c r="BQ28" s="7">
        <f t="shared" si="50"/>
      </c>
      <c r="BR28" s="7">
        <f t="shared" si="51"/>
      </c>
      <c r="BS28" s="7">
        <f t="shared" si="52"/>
      </c>
      <c r="BU28" s="7">
        <f t="shared" si="53"/>
      </c>
      <c r="BV28" s="7">
        <f t="shared" si="54"/>
      </c>
      <c r="BW28" s="7">
        <f t="shared" si="55"/>
      </c>
      <c r="BX28" s="7">
        <f t="shared" si="56"/>
      </c>
      <c r="BY28" s="7">
        <f t="shared" si="57"/>
      </c>
      <c r="BZ28" s="7">
        <f t="shared" si="58"/>
      </c>
      <c r="CA28" s="7">
        <f t="shared" si="59"/>
      </c>
      <c r="CB28" s="7">
        <f t="shared" si="60"/>
      </c>
      <c r="CC28" s="7">
        <f t="shared" si="61"/>
      </c>
      <c r="CD28" s="7">
        <f t="shared" si="62"/>
      </c>
      <c r="CF28" s="7">
        <f t="shared" si="63"/>
      </c>
      <c r="CG28" s="7">
        <f t="shared" si="64"/>
      </c>
      <c r="CH28" s="7">
        <f t="shared" si="65"/>
      </c>
      <c r="CI28" s="7">
        <f t="shared" si="66"/>
      </c>
      <c r="CJ28" s="7">
        <f t="shared" si="67"/>
      </c>
      <c r="CK28" s="7">
        <f t="shared" si="68"/>
      </c>
      <c r="CL28" s="7">
        <f t="shared" si="69"/>
      </c>
      <c r="CM28" s="7">
        <f t="shared" si="70"/>
      </c>
      <c r="CN28" s="7">
        <f t="shared" si="71"/>
      </c>
      <c r="CO28" s="7">
        <f t="shared" si="72"/>
      </c>
      <c r="CQ28" s="7">
        <f t="shared" si="73"/>
      </c>
      <c r="CR28" s="7">
        <f t="shared" si="74"/>
      </c>
      <c r="CS28" s="7">
        <f t="shared" si="75"/>
      </c>
      <c r="CT28" s="7">
        <f t="shared" si="76"/>
      </c>
      <c r="CU28" s="7">
        <f t="shared" si="77"/>
      </c>
      <c r="CV28" s="7">
        <f t="shared" si="78"/>
      </c>
      <c r="CW28" s="7">
        <f t="shared" si="79"/>
      </c>
      <c r="CX28" s="7">
        <f t="shared" si="80"/>
      </c>
      <c r="CY28" s="7">
        <f t="shared" si="81"/>
      </c>
      <c r="CZ28" s="7">
        <f t="shared" si="82"/>
      </c>
      <c r="DB28" s="7">
        <f t="shared" si="83"/>
      </c>
      <c r="DC28" s="7">
        <f t="shared" si="84"/>
      </c>
      <c r="DD28" s="7">
        <f t="shared" si="85"/>
      </c>
      <c r="DE28" s="7">
        <f t="shared" si="86"/>
      </c>
      <c r="DF28" s="7">
        <f t="shared" si="87"/>
      </c>
      <c r="DG28" s="7">
        <f t="shared" si="88"/>
      </c>
      <c r="DH28" s="7">
        <f t="shared" si="89"/>
      </c>
      <c r="DI28" s="7">
        <f t="shared" si="90"/>
      </c>
      <c r="DJ28" s="7">
        <f t="shared" si="91"/>
      </c>
      <c r="DK28" s="7">
        <f t="shared" si="92"/>
      </c>
    </row>
    <row r="29" spans="1:115" ht="11.25">
      <c r="A29" s="12"/>
      <c r="B29" s="17"/>
      <c r="C29" s="12">
        <f t="shared" si="98"/>
        <v>8</v>
      </c>
      <c r="D29" s="12">
        <f>IF(OR(D$21="",C29=""),"",EXP(D$38-D$21*(Bvtoc2-$C29)))</f>
        <v>3.5935177140209418</v>
      </c>
      <c r="E29" s="12">
        <f>IF(OR(E$21="",$C29=""),"",EXP(E$38-E$21*(Bvtoc2-$C29)))</f>
        <v>2.01188616383092</v>
      </c>
      <c r="F29" s="12">
        <f t="shared" si="100"/>
        <v>0.32216409608778124</v>
      </c>
      <c r="G29" s="12">
        <f t="shared" si="100"/>
        <v>0.06189520371722801</v>
      </c>
      <c r="H29" s="12">
        <f t="shared" si="100"/>
      </c>
      <c r="I29" s="12">
        <f t="shared" si="100"/>
      </c>
      <c r="J29" s="12">
        <f t="shared" si="100"/>
      </c>
      <c r="K29" s="12">
        <f t="shared" si="100"/>
      </c>
      <c r="L29" s="12">
        <f t="shared" si="100"/>
      </c>
      <c r="M29" s="12">
        <f t="shared" si="97"/>
        <v>5.98946317765687</v>
      </c>
      <c r="P29" s="12">
        <f t="shared" si="12"/>
      </c>
      <c r="Q29" s="12">
        <f t="shared" si="1"/>
      </c>
      <c r="R29" s="12">
        <f t="shared" si="2"/>
      </c>
      <c r="S29" s="12">
        <f t="shared" si="3"/>
      </c>
      <c r="T29" s="12">
        <f t="shared" si="4"/>
      </c>
      <c r="U29" s="12">
        <f t="shared" si="5"/>
      </c>
      <c r="V29" s="12">
        <f t="shared" si="6"/>
      </c>
      <c r="W29" s="12">
        <f t="shared" si="7"/>
      </c>
      <c r="X29" s="12">
        <f t="shared" si="8"/>
      </c>
      <c r="Y29" s="12">
        <f t="shared" si="9"/>
      </c>
      <c r="Z29" s="12">
        <f t="shared" si="11"/>
      </c>
      <c r="AB29" s="12"/>
      <c r="AC29" s="7">
        <f t="shared" si="13"/>
      </c>
      <c r="AD29" s="7">
        <f t="shared" si="14"/>
      </c>
      <c r="AE29" s="7">
        <f t="shared" si="15"/>
      </c>
      <c r="AF29" s="7">
        <f t="shared" si="16"/>
      </c>
      <c r="AG29" s="7">
        <f t="shared" si="17"/>
      </c>
      <c r="AH29" s="7">
        <f t="shared" si="18"/>
      </c>
      <c r="AI29" s="7">
        <f t="shared" si="19"/>
      </c>
      <c r="AJ29" s="7">
        <f t="shared" si="20"/>
      </c>
      <c r="AK29" s="7">
        <f t="shared" si="21"/>
      </c>
      <c r="AL29" s="7">
        <f t="shared" si="22"/>
      </c>
      <c r="AN29" s="7">
        <f t="shared" si="23"/>
      </c>
      <c r="AO29" s="7">
        <f t="shared" si="24"/>
      </c>
      <c r="AP29" s="7">
        <f t="shared" si="25"/>
      </c>
      <c r="AQ29" s="7">
        <f t="shared" si="26"/>
      </c>
      <c r="AR29" s="7">
        <f t="shared" si="27"/>
      </c>
      <c r="AS29" s="7">
        <f t="shared" si="28"/>
      </c>
      <c r="AT29" s="7">
        <f t="shared" si="29"/>
      </c>
      <c r="AU29" s="7">
        <f t="shared" si="30"/>
      </c>
      <c r="AV29" s="7">
        <f t="shared" si="31"/>
      </c>
      <c r="AW29" s="7">
        <f t="shared" si="32"/>
      </c>
      <c r="AY29" s="7">
        <f t="shared" si="33"/>
      </c>
      <c r="AZ29" s="7">
        <f t="shared" si="34"/>
      </c>
      <c r="BA29" s="7">
        <f t="shared" si="35"/>
      </c>
      <c r="BB29" s="7">
        <f t="shared" si="36"/>
      </c>
      <c r="BC29" s="7">
        <f t="shared" si="37"/>
      </c>
      <c r="BD29" s="7">
        <f t="shared" si="38"/>
      </c>
      <c r="BE29" s="7">
        <f t="shared" si="39"/>
      </c>
      <c r="BF29" s="7">
        <f t="shared" si="40"/>
      </c>
      <c r="BG29" s="7">
        <f t="shared" si="41"/>
      </c>
      <c r="BH29" s="7">
        <f t="shared" si="42"/>
      </c>
      <c r="BJ29" s="7">
        <f t="shared" si="43"/>
      </c>
      <c r="BK29" s="7">
        <f t="shared" si="44"/>
      </c>
      <c r="BL29" s="7">
        <f t="shared" si="45"/>
      </c>
      <c r="BM29" s="7">
        <f t="shared" si="46"/>
      </c>
      <c r="BN29" s="7">
        <f t="shared" si="47"/>
      </c>
      <c r="BO29" s="7">
        <f t="shared" si="48"/>
      </c>
      <c r="BP29" s="7">
        <f t="shared" si="49"/>
      </c>
      <c r="BQ29" s="7">
        <f t="shared" si="50"/>
      </c>
      <c r="BR29" s="7">
        <f t="shared" si="51"/>
      </c>
      <c r="BS29" s="7">
        <f t="shared" si="52"/>
      </c>
      <c r="BU29" s="7">
        <f t="shared" si="53"/>
      </c>
      <c r="BV29" s="7">
        <f t="shared" si="54"/>
      </c>
      <c r="BW29" s="7">
        <f t="shared" si="55"/>
      </c>
      <c r="BX29" s="7">
        <f t="shared" si="56"/>
      </c>
      <c r="BY29" s="7">
        <f t="shared" si="57"/>
      </c>
      <c r="BZ29" s="7">
        <f t="shared" si="58"/>
      </c>
      <c r="CA29" s="7">
        <f t="shared" si="59"/>
      </c>
      <c r="CB29" s="7">
        <f t="shared" si="60"/>
      </c>
      <c r="CC29" s="7">
        <f t="shared" si="61"/>
      </c>
      <c r="CD29" s="7">
        <f t="shared" si="62"/>
      </c>
      <c r="CF29" s="7">
        <f t="shared" si="63"/>
      </c>
      <c r="CG29" s="7">
        <f t="shared" si="64"/>
      </c>
      <c r="CH29" s="7">
        <f t="shared" si="65"/>
      </c>
      <c r="CI29" s="7">
        <f t="shared" si="66"/>
      </c>
      <c r="CJ29" s="7">
        <f t="shared" si="67"/>
      </c>
      <c r="CK29" s="7">
        <f t="shared" si="68"/>
      </c>
      <c r="CL29" s="7">
        <f t="shared" si="69"/>
      </c>
      <c r="CM29" s="7">
        <f t="shared" si="70"/>
      </c>
      <c r="CN29" s="7">
        <f t="shared" si="71"/>
      </c>
      <c r="CO29" s="7">
        <f t="shared" si="72"/>
      </c>
      <c r="CQ29" s="7">
        <f t="shared" si="73"/>
      </c>
      <c r="CR29" s="7">
        <f t="shared" si="74"/>
      </c>
      <c r="CS29" s="7">
        <f t="shared" si="75"/>
      </c>
      <c r="CT29" s="7">
        <f t="shared" si="76"/>
      </c>
      <c r="CU29" s="7">
        <f t="shared" si="77"/>
      </c>
      <c r="CV29" s="7">
        <f t="shared" si="78"/>
      </c>
      <c r="CW29" s="7">
        <f t="shared" si="79"/>
      </c>
      <c r="CX29" s="7">
        <f t="shared" si="80"/>
      </c>
      <c r="CY29" s="7">
        <f t="shared" si="81"/>
      </c>
      <c r="CZ29" s="7">
        <f t="shared" si="82"/>
      </c>
      <c r="DB29" s="7">
        <f t="shared" si="83"/>
      </c>
      <c r="DC29" s="7">
        <f t="shared" si="84"/>
      </c>
      <c r="DD29" s="7">
        <f t="shared" si="85"/>
      </c>
      <c r="DE29" s="7">
        <f t="shared" si="86"/>
      </c>
      <c r="DF29" s="7">
        <f t="shared" si="87"/>
      </c>
      <c r="DG29" s="7">
        <f t="shared" si="88"/>
      </c>
      <c r="DH29" s="7">
        <f t="shared" si="89"/>
      </c>
      <c r="DI29" s="7">
        <f t="shared" si="90"/>
      </c>
      <c r="DJ29" s="7">
        <f t="shared" si="91"/>
      </c>
      <c r="DK29" s="7">
        <f t="shared" si="92"/>
      </c>
    </row>
    <row r="30" spans="1:115" ht="11.25">
      <c r="A30" s="12"/>
      <c r="B30" s="17" t="s">
        <v>75</v>
      </c>
      <c r="C30" s="12">
        <f t="shared" si="98"/>
        <v>13</v>
      </c>
      <c r="D30" s="12">
        <f>IF(OR(D$21="",C30=""),"",EXP(D$38-D$21*(Bvtoc2-$C30)))</f>
        <v>2.1858572536618226</v>
      </c>
      <c r="E30" s="12">
        <f>IF(OR(E$21="",$C30=""),"",EXP(E$38-E$21*(Bvtoc2-$C30)))</f>
        <v>3.2160364076006918</v>
      </c>
      <c r="F30" s="12">
        <f t="shared" si="100"/>
        <v>1.8834293771975286</v>
      </c>
      <c r="G30" s="12">
        <f t="shared" si="100"/>
        <v>3.0402717818063425</v>
      </c>
      <c r="H30" s="12">
        <f t="shared" si="100"/>
      </c>
      <c r="I30" s="12">
        <f t="shared" si="100"/>
      </c>
      <c r="J30" s="12">
        <f t="shared" si="100"/>
      </c>
      <c r="K30" s="12">
        <f t="shared" si="100"/>
      </c>
      <c r="L30" s="12">
        <f t="shared" si="100"/>
      </c>
      <c r="M30" s="12">
        <f t="shared" si="97"/>
        <v>10.325594820266385</v>
      </c>
      <c r="P30" s="12">
        <f t="shared" si="12"/>
      </c>
      <c r="Q30" s="12">
        <f t="shared" si="1"/>
      </c>
      <c r="R30" s="12">
        <f t="shared" si="2"/>
      </c>
      <c r="S30" s="12">
        <f t="shared" si="3"/>
      </c>
      <c r="T30" s="12">
        <f t="shared" si="4"/>
      </c>
      <c r="U30" s="12">
        <f t="shared" si="5"/>
      </c>
      <c r="V30" s="12">
        <f t="shared" si="6"/>
      </c>
      <c r="W30" s="12">
        <f t="shared" si="7"/>
      </c>
      <c r="X30" s="12">
        <f t="shared" si="8"/>
      </c>
      <c r="Y30" s="12">
        <f t="shared" si="9"/>
      </c>
      <c r="Z30" s="12">
        <f t="shared" si="11"/>
      </c>
      <c r="AB30" s="12"/>
      <c r="AC30" s="7">
        <f t="shared" si="13"/>
      </c>
      <c r="AD30" s="7">
        <f t="shared" si="14"/>
      </c>
      <c r="AE30" s="7">
        <f t="shared" si="15"/>
      </c>
      <c r="AF30" s="7">
        <f t="shared" si="16"/>
      </c>
      <c r="AG30" s="7">
        <f t="shared" si="17"/>
      </c>
      <c r="AH30" s="7">
        <f t="shared" si="18"/>
      </c>
      <c r="AI30" s="7">
        <f t="shared" si="19"/>
      </c>
      <c r="AJ30" s="7">
        <f t="shared" si="20"/>
      </c>
      <c r="AK30" s="7">
        <f t="shared" si="21"/>
      </c>
      <c r="AL30" s="7">
        <f t="shared" si="22"/>
      </c>
      <c r="AN30" s="7">
        <f t="shared" si="23"/>
      </c>
      <c r="AO30" s="7">
        <f t="shared" si="24"/>
      </c>
      <c r="AP30" s="7">
        <f t="shared" si="25"/>
      </c>
      <c r="AQ30" s="7">
        <f t="shared" si="26"/>
      </c>
      <c r="AR30" s="7">
        <f t="shared" si="27"/>
      </c>
      <c r="AS30" s="7">
        <f t="shared" si="28"/>
      </c>
      <c r="AT30" s="7">
        <f t="shared" si="29"/>
      </c>
      <c r="AU30" s="7">
        <f t="shared" si="30"/>
      </c>
      <c r="AV30" s="7">
        <f t="shared" si="31"/>
      </c>
      <c r="AW30" s="7">
        <f t="shared" si="32"/>
      </c>
      <c r="AY30" s="7">
        <f t="shared" si="33"/>
      </c>
      <c r="AZ30" s="7">
        <f t="shared" si="34"/>
      </c>
      <c r="BA30" s="7">
        <f t="shared" si="35"/>
      </c>
      <c r="BB30" s="7">
        <f t="shared" si="36"/>
      </c>
      <c r="BC30" s="7">
        <f t="shared" si="37"/>
      </c>
      <c r="BD30" s="7">
        <f t="shared" si="38"/>
      </c>
      <c r="BE30" s="7">
        <f t="shared" si="39"/>
      </c>
      <c r="BF30" s="7">
        <f t="shared" si="40"/>
      </c>
      <c r="BG30" s="7">
        <f t="shared" si="41"/>
      </c>
      <c r="BH30" s="7">
        <f t="shared" si="42"/>
      </c>
      <c r="BJ30" s="7">
        <f t="shared" si="43"/>
      </c>
      <c r="BK30" s="7">
        <f t="shared" si="44"/>
      </c>
      <c r="BL30" s="7">
        <f t="shared" si="45"/>
      </c>
      <c r="BM30" s="7">
        <f t="shared" si="46"/>
      </c>
      <c r="BN30" s="7">
        <f t="shared" si="47"/>
      </c>
      <c r="BO30" s="7">
        <f t="shared" si="48"/>
      </c>
      <c r="BP30" s="7">
        <f t="shared" si="49"/>
      </c>
      <c r="BQ30" s="7">
        <f t="shared" si="50"/>
      </c>
      <c r="BR30" s="7">
        <f t="shared" si="51"/>
      </c>
      <c r="BS30" s="7">
        <f t="shared" si="52"/>
      </c>
      <c r="BU30" s="7">
        <f t="shared" si="53"/>
      </c>
      <c r="BV30" s="7">
        <f t="shared" si="54"/>
      </c>
      <c r="BW30" s="7">
        <f t="shared" si="55"/>
      </c>
      <c r="BX30" s="7">
        <f t="shared" si="56"/>
      </c>
      <c r="BY30" s="7">
        <f t="shared" si="57"/>
      </c>
      <c r="BZ30" s="7">
        <f t="shared" si="58"/>
      </c>
      <c r="CA30" s="7">
        <f t="shared" si="59"/>
      </c>
      <c r="CB30" s="7">
        <f t="shared" si="60"/>
      </c>
      <c r="CC30" s="7">
        <f t="shared" si="61"/>
      </c>
      <c r="CD30" s="7">
        <f t="shared" si="62"/>
      </c>
      <c r="CF30" s="7">
        <f t="shared" si="63"/>
      </c>
      <c r="CG30" s="7">
        <f t="shared" si="64"/>
      </c>
      <c r="CH30" s="7">
        <f t="shared" si="65"/>
      </c>
      <c r="CI30" s="7">
        <f t="shared" si="66"/>
      </c>
      <c r="CJ30" s="7">
        <f t="shared" si="67"/>
      </c>
      <c r="CK30" s="7">
        <f t="shared" si="68"/>
      </c>
      <c r="CL30" s="7">
        <f t="shared" si="69"/>
      </c>
      <c r="CM30" s="7">
        <f t="shared" si="70"/>
      </c>
      <c r="CN30" s="7">
        <f t="shared" si="71"/>
      </c>
      <c r="CO30" s="7">
        <f t="shared" si="72"/>
      </c>
      <c r="CQ30" s="7">
        <f t="shared" si="73"/>
      </c>
      <c r="CR30" s="7">
        <f t="shared" si="74"/>
      </c>
      <c r="CS30" s="7">
        <f t="shared" si="75"/>
      </c>
      <c r="CT30" s="7">
        <f t="shared" si="76"/>
      </c>
      <c r="CU30" s="7">
        <f t="shared" si="77"/>
      </c>
      <c r="CV30" s="7">
        <f t="shared" si="78"/>
      </c>
      <c r="CW30" s="7">
        <f t="shared" si="79"/>
      </c>
      <c r="CX30" s="7">
        <f t="shared" si="80"/>
      </c>
      <c r="CY30" s="7">
        <f t="shared" si="81"/>
      </c>
      <c r="CZ30" s="7">
        <f t="shared" si="82"/>
      </c>
      <c r="DB30" s="7">
        <f t="shared" si="83"/>
      </c>
      <c r="DC30" s="7">
        <f t="shared" si="84"/>
      </c>
      <c r="DD30" s="7">
        <f t="shared" si="85"/>
      </c>
      <c r="DE30" s="7">
        <f t="shared" si="86"/>
      </c>
      <c r="DF30" s="7">
        <f t="shared" si="87"/>
      </c>
      <c r="DG30" s="7">
        <f t="shared" si="88"/>
      </c>
      <c r="DH30" s="7">
        <f t="shared" si="89"/>
      </c>
      <c r="DI30" s="7">
        <f t="shared" si="90"/>
      </c>
      <c r="DJ30" s="7">
        <f t="shared" si="91"/>
      </c>
      <c r="DK30" s="7">
        <f t="shared" si="92"/>
      </c>
    </row>
    <row r="31" spans="1:115" ht="11.25">
      <c r="A31" s="12"/>
      <c r="B31" s="17"/>
      <c r="C31" s="12">
        <f t="shared" si="98"/>
        <v>18</v>
      </c>
      <c r="D31" s="12">
        <f>IF(OR(D$21="",C31=""),"",EXP(D$38-D$21*(Bvtoc2-$C31)))</f>
        <v>1.3296085656524363</v>
      </c>
      <c r="E31" s="12">
        <f>IF(OR(E$21="",$C31=""),"",EXP(E$38-E$21*(Bvtoc2-$C31)))</f>
        <v>5.140892343192427</v>
      </c>
      <c r="F31" s="12">
        <f t="shared" si="100"/>
        <v>11.01086763536841</v>
      </c>
      <c r="G31" s="12">
        <f t="shared" si="100"/>
        <v>149.33713683981503</v>
      </c>
      <c r="H31" s="12">
        <f t="shared" si="100"/>
      </c>
      <c r="I31" s="12">
        <f t="shared" si="100"/>
      </c>
      <c r="J31" s="12">
        <f t="shared" si="100"/>
      </c>
      <c r="K31" s="12">
        <f t="shared" si="100"/>
      </c>
      <c r="L31" s="12">
        <f t="shared" si="100"/>
      </c>
      <c r="M31" s="12">
        <f t="shared" si="97"/>
        <v>166.8185053840283</v>
      </c>
      <c r="P31" s="12">
        <f t="shared" si="12"/>
      </c>
      <c r="Q31" s="12">
        <f t="shared" si="1"/>
      </c>
      <c r="R31" s="12">
        <f t="shared" si="2"/>
      </c>
      <c r="S31" s="12">
        <f t="shared" si="3"/>
      </c>
      <c r="T31" s="12">
        <f t="shared" si="4"/>
      </c>
      <c r="U31" s="12">
        <f t="shared" si="5"/>
      </c>
      <c r="V31" s="12">
        <f t="shared" si="6"/>
      </c>
      <c r="W31" s="12">
        <f t="shared" si="7"/>
      </c>
      <c r="X31" s="12">
        <f t="shared" si="8"/>
      </c>
      <c r="Y31" s="12">
        <f t="shared" si="9"/>
      </c>
      <c r="Z31" s="12">
        <f t="shared" si="11"/>
      </c>
      <c r="AB31" s="12"/>
      <c r="AC31" s="7">
        <f t="shared" si="13"/>
      </c>
      <c r="AD31" s="7">
        <f t="shared" si="14"/>
      </c>
      <c r="AE31" s="7">
        <f t="shared" si="15"/>
      </c>
      <c r="AF31" s="7">
        <f t="shared" si="16"/>
      </c>
      <c r="AG31" s="7">
        <f t="shared" si="17"/>
      </c>
      <c r="AH31" s="7">
        <f t="shared" si="18"/>
      </c>
      <c r="AI31" s="7">
        <f t="shared" si="19"/>
      </c>
      <c r="AJ31" s="7">
        <f t="shared" si="20"/>
      </c>
      <c r="AK31" s="7">
        <f t="shared" si="21"/>
      </c>
      <c r="AL31" s="7">
        <f t="shared" si="22"/>
      </c>
      <c r="AN31" s="7">
        <f t="shared" si="23"/>
      </c>
      <c r="AO31" s="7">
        <f t="shared" si="24"/>
      </c>
      <c r="AP31" s="7">
        <f t="shared" si="25"/>
      </c>
      <c r="AQ31" s="7">
        <f t="shared" si="26"/>
      </c>
      <c r="AR31" s="7">
        <f t="shared" si="27"/>
      </c>
      <c r="AS31" s="7">
        <f t="shared" si="28"/>
      </c>
      <c r="AT31" s="7">
        <f t="shared" si="29"/>
      </c>
      <c r="AU31" s="7">
        <f t="shared" si="30"/>
      </c>
      <c r="AV31" s="7">
        <f t="shared" si="31"/>
      </c>
      <c r="AW31" s="7">
        <f t="shared" si="32"/>
      </c>
      <c r="AY31" s="7">
        <f t="shared" si="33"/>
      </c>
      <c r="AZ31" s="7">
        <f t="shared" si="34"/>
      </c>
      <c r="BA31" s="7">
        <f t="shared" si="35"/>
      </c>
      <c r="BB31" s="7">
        <f t="shared" si="36"/>
      </c>
      <c r="BC31" s="7">
        <f t="shared" si="37"/>
      </c>
      <c r="BD31" s="7">
        <f t="shared" si="38"/>
      </c>
      <c r="BE31" s="7">
        <f t="shared" si="39"/>
      </c>
      <c r="BF31" s="7">
        <f t="shared" si="40"/>
      </c>
      <c r="BG31" s="7">
        <f t="shared" si="41"/>
      </c>
      <c r="BH31" s="7">
        <f t="shared" si="42"/>
      </c>
      <c r="BJ31" s="7">
        <f t="shared" si="43"/>
      </c>
      <c r="BK31" s="7">
        <f t="shared" si="44"/>
      </c>
      <c r="BL31" s="7">
        <f t="shared" si="45"/>
      </c>
      <c r="BM31" s="7">
        <f t="shared" si="46"/>
      </c>
      <c r="BN31" s="7">
        <f t="shared" si="47"/>
      </c>
      <c r="BO31" s="7">
        <f t="shared" si="48"/>
      </c>
      <c r="BP31" s="7">
        <f t="shared" si="49"/>
      </c>
      <c r="BQ31" s="7">
        <f t="shared" si="50"/>
      </c>
      <c r="BR31" s="7">
        <f t="shared" si="51"/>
      </c>
      <c r="BS31" s="7">
        <f t="shared" si="52"/>
      </c>
      <c r="BU31" s="7">
        <f t="shared" si="53"/>
      </c>
      <c r="BV31" s="7">
        <f t="shared" si="54"/>
      </c>
      <c r="BW31" s="7">
        <f t="shared" si="55"/>
      </c>
      <c r="BX31" s="7">
        <f t="shared" si="56"/>
      </c>
      <c r="BY31" s="7">
        <f t="shared" si="57"/>
      </c>
      <c r="BZ31" s="7">
        <f t="shared" si="58"/>
      </c>
      <c r="CA31" s="7">
        <f t="shared" si="59"/>
      </c>
      <c r="CB31" s="7">
        <f t="shared" si="60"/>
      </c>
      <c r="CC31" s="7">
        <f t="shared" si="61"/>
      </c>
      <c r="CD31" s="7">
        <f t="shared" si="62"/>
      </c>
      <c r="CF31" s="7">
        <f t="shared" si="63"/>
      </c>
      <c r="CG31" s="7">
        <f t="shared" si="64"/>
      </c>
      <c r="CH31" s="7">
        <f t="shared" si="65"/>
      </c>
      <c r="CI31" s="7">
        <f t="shared" si="66"/>
      </c>
      <c r="CJ31" s="7">
        <f t="shared" si="67"/>
      </c>
      <c r="CK31" s="7">
        <f t="shared" si="68"/>
      </c>
      <c r="CL31" s="7">
        <f t="shared" si="69"/>
      </c>
      <c r="CM31" s="7">
        <f t="shared" si="70"/>
      </c>
      <c r="CN31" s="7">
        <f t="shared" si="71"/>
      </c>
      <c r="CO31" s="7">
        <f t="shared" si="72"/>
      </c>
      <c r="CQ31" s="7">
        <f t="shared" si="73"/>
      </c>
      <c r="CR31" s="7">
        <f t="shared" si="74"/>
      </c>
      <c r="CS31" s="7">
        <f t="shared" si="75"/>
      </c>
      <c r="CT31" s="7">
        <f t="shared" si="76"/>
      </c>
      <c r="CU31" s="7">
        <f t="shared" si="77"/>
      </c>
      <c r="CV31" s="7">
        <f t="shared" si="78"/>
      </c>
      <c r="CW31" s="7">
        <f t="shared" si="79"/>
      </c>
      <c r="CX31" s="7">
        <f t="shared" si="80"/>
      </c>
      <c r="CY31" s="7">
        <f t="shared" si="81"/>
      </c>
      <c r="CZ31" s="7">
        <f t="shared" si="82"/>
      </c>
      <c r="DB31" s="7">
        <f t="shared" si="83"/>
      </c>
      <c r="DC31" s="7">
        <f t="shared" si="84"/>
      </c>
      <c r="DD31" s="7">
        <f t="shared" si="85"/>
      </c>
      <c r="DE31" s="7">
        <f t="shared" si="86"/>
      </c>
      <c r="DF31" s="7">
        <f t="shared" si="87"/>
      </c>
      <c r="DG31" s="7">
        <f t="shared" si="88"/>
      </c>
      <c r="DH31" s="7">
        <f t="shared" si="89"/>
      </c>
      <c r="DI31" s="7">
        <f t="shared" si="90"/>
      </c>
      <c r="DJ31" s="7">
        <f t="shared" si="91"/>
      </c>
      <c r="DK31" s="7">
        <f t="shared" si="92"/>
      </c>
    </row>
    <row r="32" spans="1:115" ht="11.25">
      <c r="A32" s="12"/>
      <c r="B32" s="18"/>
      <c r="C32" s="11">
        <f t="shared" si="98"/>
        <v>22</v>
      </c>
      <c r="D32" s="11">
        <f>IF(OR(D$21="",C32=""),"",EXP(D$38-D$21*(Bvtoc2-$C32)))</f>
        <v>0.8933166116489037</v>
      </c>
      <c r="E32" s="11">
        <f>IF(OR(E$21="",$C32=""),"",EXP(E$38-E$21*(Bvtoc2-$C32)))</f>
        <v>7.481911234812129</v>
      </c>
      <c r="F32" s="11">
        <f t="shared" si="100"/>
        <v>45.2188281426004</v>
      </c>
      <c r="G32" s="11">
        <f t="shared" si="100"/>
        <v>3366.4498575229727</v>
      </c>
      <c r="H32" s="11">
        <f t="shared" si="100"/>
      </c>
      <c r="I32" s="11">
        <f t="shared" si="100"/>
      </c>
      <c r="J32" s="11">
        <f t="shared" si="100"/>
      </c>
      <c r="K32" s="11">
        <f t="shared" si="100"/>
      </c>
      <c r="L32" s="11">
        <f t="shared" si="100"/>
      </c>
      <c r="M32" s="11">
        <f t="shared" si="97"/>
        <v>3420.043913512034</v>
      </c>
      <c r="P32" s="12">
        <f t="shared" si="12"/>
      </c>
      <c r="Q32" s="12">
        <f t="shared" si="1"/>
      </c>
      <c r="R32" s="12">
        <f t="shared" si="2"/>
      </c>
      <c r="S32" s="12">
        <f t="shared" si="3"/>
      </c>
      <c r="T32" s="12">
        <f t="shared" si="4"/>
      </c>
      <c r="U32" s="12">
        <f t="shared" si="5"/>
      </c>
      <c r="V32" s="12">
        <f t="shared" si="6"/>
      </c>
      <c r="W32" s="12">
        <f t="shared" si="7"/>
      </c>
      <c r="X32" s="12">
        <f t="shared" si="8"/>
      </c>
      <c r="Y32" s="12">
        <f t="shared" si="9"/>
      </c>
      <c r="Z32" s="12">
        <f t="shared" si="11"/>
      </c>
      <c r="AB32" s="12"/>
      <c r="AC32" s="7">
        <f t="shared" si="13"/>
      </c>
      <c r="AD32" s="7">
        <f t="shared" si="14"/>
      </c>
      <c r="AE32" s="7">
        <f t="shared" si="15"/>
      </c>
      <c r="AF32" s="7">
        <f t="shared" si="16"/>
      </c>
      <c r="AG32" s="7">
        <f t="shared" si="17"/>
      </c>
      <c r="AH32" s="7">
        <f t="shared" si="18"/>
      </c>
      <c r="AI32" s="7">
        <f t="shared" si="19"/>
      </c>
      <c r="AJ32" s="7">
        <f t="shared" si="20"/>
      </c>
      <c r="AK32" s="7">
        <f t="shared" si="21"/>
      </c>
      <c r="AL32" s="7">
        <f t="shared" si="22"/>
      </c>
      <c r="AN32" s="7">
        <f t="shared" si="23"/>
      </c>
      <c r="AO32" s="7">
        <f t="shared" si="24"/>
      </c>
      <c r="AP32" s="7">
        <f t="shared" si="25"/>
      </c>
      <c r="AQ32" s="7">
        <f t="shared" si="26"/>
      </c>
      <c r="AR32" s="7">
        <f t="shared" si="27"/>
      </c>
      <c r="AS32" s="7">
        <f t="shared" si="28"/>
      </c>
      <c r="AT32" s="7">
        <f t="shared" si="29"/>
      </c>
      <c r="AU32" s="7">
        <f t="shared" si="30"/>
      </c>
      <c r="AV32" s="7">
        <f t="shared" si="31"/>
      </c>
      <c r="AW32" s="7">
        <f t="shared" si="32"/>
      </c>
      <c r="AY32" s="7">
        <f t="shared" si="33"/>
      </c>
      <c r="AZ32" s="7">
        <f t="shared" si="34"/>
      </c>
      <c r="BA32" s="7">
        <f t="shared" si="35"/>
      </c>
      <c r="BB32" s="7">
        <f t="shared" si="36"/>
      </c>
      <c r="BC32" s="7">
        <f t="shared" si="37"/>
      </c>
      <c r="BD32" s="7">
        <f t="shared" si="38"/>
      </c>
      <c r="BE32" s="7">
        <f t="shared" si="39"/>
      </c>
      <c r="BF32" s="7">
        <f t="shared" si="40"/>
      </c>
      <c r="BG32" s="7">
        <f t="shared" si="41"/>
      </c>
      <c r="BH32" s="7">
        <f t="shared" si="42"/>
      </c>
      <c r="BJ32" s="7">
        <f t="shared" si="43"/>
      </c>
      <c r="BK32" s="7">
        <f t="shared" si="44"/>
      </c>
      <c r="BL32" s="7">
        <f t="shared" si="45"/>
      </c>
      <c r="BM32" s="7">
        <f t="shared" si="46"/>
      </c>
      <c r="BN32" s="7">
        <f t="shared" si="47"/>
      </c>
      <c r="BO32" s="7">
        <f t="shared" si="48"/>
      </c>
      <c r="BP32" s="7">
        <f t="shared" si="49"/>
      </c>
      <c r="BQ32" s="7">
        <f t="shared" si="50"/>
      </c>
      <c r="BR32" s="7">
        <f t="shared" si="51"/>
      </c>
      <c r="BS32" s="7">
        <f t="shared" si="52"/>
      </c>
      <c r="BU32" s="7">
        <f t="shared" si="53"/>
      </c>
      <c r="BV32" s="7">
        <f t="shared" si="54"/>
      </c>
      <c r="BW32" s="7">
        <f t="shared" si="55"/>
      </c>
      <c r="BX32" s="7">
        <f t="shared" si="56"/>
      </c>
      <c r="BY32" s="7">
        <f t="shared" si="57"/>
      </c>
      <c r="BZ32" s="7">
        <f t="shared" si="58"/>
      </c>
      <c r="CA32" s="7">
        <f t="shared" si="59"/>
      </c>
      <c r="CB32" s="7">
        <f t="shared" si="60"/>
      </c>
      <c r="CC32" s="7">
        <f t="shared" si="61"/>
      </c>
      <c r="CD32" s="7">
        <f t="shared" si="62"/>
      </c>
      <c r="CF32" s="7">
        <f t="shared" si="63"/>
      </c>
      <c r="CG32" s="7">
        <f t="shared" si="64"/>
      </c>
      <c r="CH32" s="7">
        <f t="shared" si="65"/>
      </c>
      <c r="CI32" s="7">
        <f t="shared" si="66"/>
      </c>
      <c r="CJ32" s="7">
        <f t="shared" si="67"/>
      </c>
      <c r="CK32" s="7">
        <f t="shared" si="68"/>
      </c>
      <c r="CL32" s="7">
        <f t="shared" si="69"/>
      </c>
      <c r="CM32" s="7">
        <f t="shared" si="70"/>
      </c>
      <c r="CN32" s="7">
        <f t="shared" si="71"/>
      </c>
      <c r="CO32" s="7">
        <f t="shared" si="72"/>
      </c>
      <c r="CQ32" s="7">
        <f t="shared" si="73"/>
      </c>
      <c r="CR32" s="7">
        <f t="shared" si="74"/>
      </c>
      <c r="CS32" s="7">
        <f t="shared" si="75"/>
      </c>
      <c r="CT32" s="7">
        <f t="shared" si="76"/>
      </c>
      <c r="CU32" s="7">
        <f t="shared" si="77"/>
      </c>
      <c r="CV32" s="7">
        <f t="shared" si="78"/>
      </c>
      <c r="CW32" s="7">
        <f t="shared" si="79"/>
      </c>
      <c r="CX32" s="7">
        <f t="shared" si="80"/>
      </c>
      <c r="CY32" s="7">
        <f t="shared" si="81"/>
      </c>
      <c r="CZ32" s="7">
        <f t="shared" si="82"/>
      </c>
      <c r="DB32" s="7">
        <f t="shared" si="83"/>
      </c>
      <c r="DC32" s="7">
        <f t="shared" si="84"/>
      </c>
      <c r="DD32" s="7">
        <f t="shared" si="85"/>
      </c>
      <c r="DE32" s="7">
        <f t="shared" si="86"/>
      </c>
      <c r="DF32" s="7">
        <f t="shared" si="87"/>
      </c>
      <c r="DG32" s="7">
        <f t="shared" si="88"/>
      </c>
      <c r="DH32" s="7">
        <f t="shared" si="89"/>
      </c>
      <c r="DI32" s="7">
        <f t="shared" si="90"/>
      </c>
      <c r="DJ32" s="7">
        <f t="shared" si="91"/>
      </c>
      <c r="DK32" s="7">
        <f t="shared" si="92"/>
      </c>
    </row>
    <row r="33" spans="1:115" ht="11.25">
      <c r="A33" s="12"/>
      <c r="B33" s="17"/>
      <c r="C33" s="12">
        <f t="shared" si="98"/>
        <v>0</v>
      </c>
      <c r="D33" s="12">
        <f>IF(OR(D$22="",$C33=""),"",EXP(D$38-D$22*(Bvtoc3-$C33)))</f>
        <v>1.9655559479837255</v>
      </c>
      <c r="E33" s="12">
        <f>IF(OR(E$22="",$C33=""),"",EXP(E$38-E$22*(Bvtoc3-$C33)))</f>
        <v>1.8395105124438342</v>
      </c>
      <c r="F33" s="12">
        <f aca="true" t="shared" si="101" ref="F33:L37">IF(OR(F$22="",$C33=""),"",EXP(F$38-F$22*(Bvtoc3-$C33)))</f>
        <v>0.9582591320830999</v>
      </c>
      <c r="G33" s="12">
        <f t="shared" si="101"/>
        <v>1.5761898957811449</v>
      </c>
      <c r="H33" s="12">
        <f t="shared" si="101"/>
      </c>
      <c r="I33" s="12">
        <f t="shared" si="101"/>
      </c>
      <c r="J33" s="12">
        <f t="shared" si="101"/>
      </c>
      <c r="K33" s="12">
        <f t="shared" si="101"/>
      </c>
      <c r="L33" s="12">
        <f t="shared" si="101"/>
      </c>
      <c r="M33" s="12">
        <f t="shared" si="97"/>
        <v>6.339515488291804</v>
      </c>
      <c r="P33" s="12">
        <f t="shared" si="12"/>
      </c>
      <c r="Q33" s="12">
        <f t="shared" si="1"/>
      </c>
      <c r="R33" s="12">
        <f t="shared" si="2"/>
      </c>
      <c r="S33" s="12">
        <f t="shared" si="3"/>
      </c>
      <c r="T33" s="12">
        <f t="shared" si="4"/>
      </c>
      <c r="U33" s="12">
        <f t="shared" si="5"/>
      </c>
      <c r="V33" s="12">
        <f t="shared" si="6"/>
      </c>
      <c r="W33" s="12">
        <f t="shared" si="7"/>
      </c>
      <c r="X33" s="12">
        <f t="shared" si="8"/>
      </c>
      <c r="Y33" s="12">
        <f t="shared" si="9"/>
      </c>
      <c r="Z33" s="12">
        <f t="shared" si="11"/>
      </c>
      <c r="AB33" s="12"/>
      <c r="AC33" s="7">
        <f t="shared" si="13"/>
      </c>
      <c r="AD33" s="7">
        <f t="shared" si="14"/>
      </c>
      <c r="AE33" s="7">
        <f t="shared" si="15"/>
      </c>
      <c r="AF33" s="7">
        <f t="shared" si="16"/>
      </c>
      <c r="AG33" s="7">
        <f t="shared" si="17"/>
      </c>
      <c r="AH33" s="7">
        <f t="shared" si="18"/>
      </c>
      <c r="AI33" s="7">
        <f t="shared" si="19"/>
      </c>
      <c r="AJ33" s="7">
        <f t="shared" si="20"/>
      </c>
      <c r="AK33" s="7">
        <f t="shared" si="21"/>
      </c>
      <c r="AL33" s="7">
        <f t="shared" si="22"/>
      </c>
      <c r="AN33" s="7">
        <f t="shared" si="23"/>
      </c>
      <c r="AO33" s="7">
        <f t="shared" si="24"/>
      </c>
      <c r="AP33" s="7">
        <f t="shared" si="25"/>
      </c>
      <c r="AQ33" s="7">
        <f t="shared" si="26"/>
      </c>
      <c r="AR33" s="7">
        <f t="shared" si="27"/>
      </c>
      <c r="AS33" s="7">
        <f t="shared" si="28"/>
      </c>
      <c r="AT33" s="7">
        <f t="shared" si="29"/>
      </c>
      <c r="AU33" s="7">
        <f t="shared" si="30"/>
      </c>
      <c r="AV33" s="7">
        <f t="shared" si="31"/>
      </c>
      <c r="AW33" s="7">
        <f t="shared" si="32"/>
      </c>
      <c r="AY33" s="7">
        <f t="shared" si="33"/>
      </c>
      <c r="AZ33" s="7">
        <f t="shared" si="34"/>
      </c>
      <c r="BA33" s="7">
        <f t="shared" si="35"/>
      </c>
      <c r="BB33" s="7">
        <f t="shared" si="36"/>
      </c>
      <c r="BC33" s="7">
        <f t="shared" si="37"/>
      </c>
      <c r="BD33" s="7">
        <f t="shared" si="38"/>
      </c>
      <c r="BE33" s="7">
        <f t="shared" si="39"/>
      </c>
      <c r="BF33" s="7">
        <f t="shared" si="40"/>
      </c>
      <c r="BG33" s="7">
        <f t="shared" si="41"/>
      </c>
      <c r="BH33" s="7">
        <f t="shared" si="42"/>
      </c>
      <c r="BJ33" s="7">
        <f t="shared" si="43"/>
      </c>
      <c r="BK33" s="7">
        <f t="shared" si="44"/>
      </c>
      <c r="BL33" s="7">
        <f t="shared" si="45"/>
      </c>
      <c r="BM33" s="7">
        <f t="shared" si="46"/>
      </c>
      <c r="BN33" s="7">
        <f t="shared" si="47"/>
      </c>
      <c r="BO33" s="7">
        <f t="shared" si="48"/>
      </c>
      <c r="BP33" s="7">
        <f t="shared" si="49"/>
      </c>
      <c r="BQ33" s="7">
        <f t="shared" si="50"/>
      </c>
      <c r="BR33" s="7">
        <f t="shared" si="51"/>
      </c>
      <c r="BS33" s="7">
        <f t="shared" si="52"/>
      </c>
      <c r="BU33" s="7">
        <f t="shared" si="53"/>
      </c>
      <c r="BV33" s="7">
        <f t="shared" si="54"/>
      </c>
      <c r="BW33" s="7">
        <f t="shared" si="55"/>
      </c>
      <c r="BX33" s="7">
        <f t="shared" si="56"/>
      </c>
      <c r="BY33" s="7">
        <f t="shared" si="57"/>
      </c>
      <c r="BZ33" s="7">
        <f t="shared" si="58"/>
      </c>
      <c r="CA33" s="7">
        <f t="shared" si="59"/>
      </c>
      <c r="CB33" s="7">
        <f t="shared" si="60"/>
      </c>
      <c r="CC33" s="7">
        <f t="shared" si="61"/>
      </c>
      <c r="CD33" s="7">
        <f t="shared" si="62"/>
      </c>
      <c r="CF33" s="7">
        <f t="shared" si="63"/>
      </c>
      <c r="CG33" s="7">
        <f t="shared" si="64"/>
      </c>
      <c r="CH33" s="7">
        <f t="shared" si="65"/>
      </c>
      <c r="CI33" s="7">
        <f t="shared" si="66"/>
      </c>
      <c r="CJ33" s="7">
        <f t="shared" si="67"/>
      </c>
      <c r="CK33" s="7">
        <f t="shared" si="68"/>
      </c>
      <c r="CL33" s="7">
        <f t="shared" si="69"/>
      </c>
      <c r="CM33" s="7">
        <f t="shared" si="70"/>
      </c>
      <c r="CN33" s="7">
        <f t="shared" si="71"/>
      </c>
      <c r="CO33" s="7">
        <f t="shared" si="72"/>
      </c>
      <c r="CQ33" s="7">
        <f t="shared" si="73"/>
      </c>
      <c r="CR33" s="7">
        <f t="shared" si="74"/>
      </c>
      <c r="CS33" s="7">
        <f t="shared" si="75"/>
      </c>
      <c r="CT33" s="7">
        <f t="shared" si="76"/>
      </c>
      <c r="CU33" s="7">
        <f t="shared" si="77"/>
      </c>
      <c r="CV33" s="7">
        <f t="shared" si="78"/>
      </c>
      <c r="CW33" s="7">
        <f t="shared" si="79"/>
      </c>
      <c r="CX33" s="7">
        <f t="shared" si="80"/>
      </c>
      <c r="CY33" s="7">
        <f t="shared" si="81"/>
      </c>
      <c r="CZ33" s="7">
        <f t="shared" si="82"/>
      </c>
      <c r="DB33" s="7">
        <f t="shared" si="83"/>
      </c>
      <c r="DC33" s="7">
        <f t="shared" si="84"/>
      </c>
      <c r="DD33" s="7">
        <f t="shared" si="85"/>
      </c>
      <c r="DE33" s="7">
        <f t="shared" si="86"/>
      </c>
      <c r="DF33" s="7">
        <f t="shared" si="87"/>
      </c>
      <c r="DG33" s="7">
        <f t="shared" si="88"/>
      </c>
      <c r="DH33" s="7">
        <f t="shared" si="89"/>
      </c>
      <c r="DI33" s="7">
        <f t="shared" si="90"/>
      </c>
      <c r="DJ33" s="7">
        <f t="shared" si="91"/>
      </c>
      <c r="DK33" s="7">
        <f t="shared" si="92"/>
      </c>
    </row>
    <row r="34" spans="1:115" ht="11.25">
      <c r="A34" s="12"/>
      <c r="B34" s="17"/>
      <c r="C34" s="12">
        <f t="shared" si="98"/>
        <v>5</v>
      </c>
      <c r="D34" s="12">
        <f aca="true" t="shared" si="102" ref="D34:E37">IF(OR(D$22="",$C34=""),"",EXP(D$38-D$22*(Bvtoc3-$C34)))</f>
        <v>2.0125068428686888</v>
      </c>
      <c r="E34" s="12">
        <f t="shared" si="102"/>
        <v>2.1125980859368356</v>
      </c>
      <c r="F34" s="12">
        <f t="shared" si="101"/>
        <v>1.13921844780328</v>
      </c>
      <c r="G34" s="12">
        <f t="shared" si="101"/>
        <v>1.883750952170746</v>
      </c>
      <c r="H34" s="12">
        <f t="shared" si="101"/>
      </c>
      <c r="I34" s="12">
        <f t="shared" si="101"/>
      </c>
      <c r="J34" s="12">
        <f t="shared" si="101"/>
      </c>
      <c r="K34" s="12">
        <f t="shared" si="101"/>
      </c>
      <c r="L34" s="12">
        <f t="shared" si="101"/>
      </c>
      <c r="M34" s="12">
        <f t="shared" si="97"/>
        <v>7.1480743287795505</v>
      </c>
      <c r="P34" s="11">
        <f t="shared" si="12"/>
      </c>
      <c r="Q34" s="11">
        <f t="shared" si="1"/>
      </c>
      <c r="R34" s="11">
        <f t="shared" si="2"/>
      </c>
      <c r="S34" s="11">
        <f t="shared" si="3"/>
      </c>
      <c r="T34" s="11">
        <f t="shared" si="4"/>
      </c>
      <c r="U34" s="11">
        <f t="shared" si="5"/>
      </c>
      <c r="V34" s="11">
        <f t="shared" si="6"/>
      </c>
      <c r="W34" s="11">
        <f t="shared" si="7"/>
      </c>
      <c r="X34" s="11">
        <f t="shared" si="8"/>
      </c>
      <c r="Y34" s="11">
        <f t="shared" si="9"/>
      </c>
      <c r="Z34" s="11">
        <f t="shared" si="11"/>
      </c>
      <c r="AB34" s="12"/>
      <c r="AC34" s="7">
        <f t="shared" si="13"/>
      </c>
      <c r="AD34" s="7">
        <f t="shared" si="14"/>
      </c>
      <c r="AE34" s="7">
        <f t="shared" si="15"/>
      </c>
      <c r="AF34" s="7">
        <f t="shared" si="16"/>
      </c>
      <c r="AG34" s="7">
        <f t="shared" si="17"/>
      </c>
      <c r="AH34" s="7">
        <f t="shared" si="18"/>
      </c>
      <c r="AI34" s="7">
        <f t="shared" si="19"/>
      </c>
      <c r="AJ34" s="7">
        <f t="shared" si="20"/>
      </c>
      <c r="AK34" s="7">
        <f t="shared" si="21"/>
      </c>
      <c r="AL34" s="7">
        <f t="shared" si="22"/>
      </c>
      <c r="AN34" s="7">
        <f t="shared" si="23"/>
      </c>
      <c r="AO34" s="7">
        <f t="shared" si="24"/>
      </c>
      <c r="AP34" s="7">
        <f t="shared" si="25"/>
      </c>
      <c r="AQ34" s="7">
        <f t="shared" si="26"/>
      </c>
      <c r="AR34" s="7">
        <f t="shared" si="27"/>
      </c>
      <c r="AS34" s="7">
        <f t="shared" si="28"/>
      </c>
      <c r="AT34" s="7">
        <f t="shared" si="29"/>
      </c>
      <c r="AU34" s="7">
        <f t="shared" si="30"/>
      </c>
      <c r="AV34" s="7">
        <f t="shared" si="31"/>
      </c>
      <c r="AW34" s="7">
        <f t="shared" si="32"/>
      </c>
      <c r="AY34" s="7">
        <f t="shared" si="33"/>
      </c>
      <c r="AZ34" s="7">
        <f t="shared" si="34"/>
      </c>
      <c r="BA34" s="7">
        <f t="shared" si="35"/>
      </c>
      <c r="BB34" s="7">
        <f t="shared" si="36"/>
      </c>
      <c r="BC34" s="7">
        <f t="shared" si="37"/>
      </c>
      <c r="BD34" s="7">
        <f t="shared" si="38"/>
      </c>
      <c r="BE34" s="7">
        <f t="shared" si="39"/>
      </c>
      <c r="BF34" s="7">
        <f t="shared" si="40"/>
      </c>
      <c r="BG34" s="7">
        <f t="shared" si="41"/>
      </c>
      <c r="BH34" s="7">
        <f t="shared" si="42"/>
      </c>
      <c r="BJ34" s="7">
        <f t="shared" si="43"/>
      </c>
      <c r="BK34" s="7">
        <f t="shared" si="44"/>
      </c>
      <c r="BL34" s="7">
        <f t="shared" si="45"/>
      </c>
      <c r="BM34" s="7">
        <f t="shared" si="46"/>
      </c>
      <c r="BN34" s="7">
        <f t="shared" si="47"/>
      </c>
      <c r="BO34" s="7">
        <f t="shared" si="48"/>
      </c>
      <c r="BP34" s="7">
        <f t="shared" si="49"/>
      </c>
      <c r="BQ34" s="7">
        <f t="shared" si="50"/>
      </c>
      <c r="BR34" s="7">
        <f t="shared" si="51"/>
      </c>
      <c r="BS34" s="7">
        <f t="shared" si="52"/>
      </c>
      <c r="BU34" s="7">
        <f t="shared" si="53"/>
      </c>
      <c r="BV34" s="7">
        <f t="shared" si="54"/>
      </c>
      <c r="BW34" s="7">
        <f t="shared" si="55"/>
      </c>
      <c r="BX34" s="7">
        <f t="shared" si="56"/>
      </c>
      <c r="BY34" s="7">
        <f t="shared" si="57"/>
      </c>
      <c r="BZ34" s="7">
        <f t="shared" si="58"/>
      </c>
      <c r="CA34" s="7">
        <f t="shared" si="59"/>
      </c>
      <c r="CB34" s="7">
        <f t="shared" si="60"/>
      </c>
      <c r="CC34" s="7">
        <f t="shared" si="61"/>
      </c>
      <c r="CD34" s="7">
        <f t="shared" si="62"/>
      </c>
      <c r="CF34" s="7">
        <f t="shared" si="63"/>
      </c>
      <c r="CG34" s="7">
        <f t="shared" si="64"/>
      </c>
      <c r="CH34" s="7">
        <f t="shared" si="65"/>
      </c>
      <c r="CI34" s="7">
        <f t="shared" si="66"/>
      </c>
      <c r="CJ34" s="7">
        <f t="shared" si="67"/>
      </c>
      <c r="CK34" s="7">
        <f t="shared" si="68"/>
      </c>
      <c r="CL34" s="7">
        <f t="shared" si="69"/>
      </c>
      <c r="CM34" s="7">
        <f t="shared" si="70"/>
      </c>
      <c r="CN34" s="7">
        <f t="shared" si="71"/>
      </c>
      <c r="CO34" s="7">
        <f t="shared" si="72"/>
      </c>
      <c r="CQ34" s="7">
        <f t="shared" si="73"/>
      </c>
      <c r="CR34" s="7">
        <f t="shared" si="74"/>
      </c>
      <c r="CS34" s="7">
        <f t="shared" si="75"/>
      </c>
      <c r="CT34" s="7">
        <f t="shared" si="76"/>
      </c>
      <c r="CU34" s="7">
        <f t="shared" si="77"/>
      </c>
      <c r="CV34" s="7">
        <f t="shared" si="78"/>
      </c>
      <c r="CW34" s="7">
        <f t="shared" si="79"/>
      </c>
      <c r="CX34" s="7">
        <f t="shared" si="80"/>
      </c>
      <c r="CY34" s="7">
        <f t="shared" si="81"/>
      </c>
      <c r="CZ34" s="7">
        <f t="shared" si="82"/>
      </c>
      <c r="DB34" s="7">
        <f t="shared" si="83"/>
      </c>
      <c r="DC34" s="7">
        <f t="shared" si="84"/>
      </c>
      <c r="DD34" s="7">
        <f t="shared" si="85"/>
      </c>
      <c r="DE34" s="7">
        <f t="shared" si="86"/>
      </c>
      <c r="DF34" s="7">
        <f t="shared" si="87"/>
      </c>
      <c r="DG34" s="7">
        <f t="shared" si="88"/>
      </c>
      <c r="DH34" s="7">
        <f t="shared" si="89"/>
      </c>
      <c r="DI34" s="7">
        <f t="shared" si="90"/>
      </c>
      <c r="DJ34" s="7">
        <f t="shared" si="91"/>
      </c>
      <c r="DK34" s="7">
        <f t="shared" si="92"/>
      </c>
    </row>
    <row r="35" spans="1:115" ht="11.25">
      <c r="A35" s="12"/>
      <c r="B35" s="17" t="s">
        <v>77</v>
      </c>
      <c r="C35" s="12">
        <f t="shared" si="98"/>
        <v>10</v>
      </c>
      <c r="D35" s="12">
        <f t="shared" si="102"/>
        <v>2.060579245657184</v>
      </c>
      <c r="E35" s="12">
        <f t="shared" si="102"/>
        <v>2.4262273265156207</v>
      </c>
      <c r="F35" s="12">
        <f t="shared" si="101"/>
        <v>1.3543504344112722</v>
      </c>
      <c r="G35" s="12">
        <f t="shared" si="101"/>
        <v>2.2513262261750384</v>
      </c>
      <c r="H35" s="12">
        <f t="shared" si="101"/>
      </c>
      <c r="I35" s="12">
        <f t="shared" si="101"/>
      </c>
      <c r="J35" s="12">
        <f t="shared" si="101"/>
      </c>
      <c r="K35" s="12">
        <f t="shared" si="101"/>
      </c>
      <c r="L35" s="12">
        <f t="shared" si="101"/>
      </c>
      <c r="M35" s="12">
        <f t="shared" si="97"/>
        <v>8.092483232759115</v>
      </c>
      <c r="AB35" s="12"/>
      <c r="AC35" s="7">
        <f t="shared" si="13"/>
      </c>
      <c r="AD35" s="7">
        <f t="shared" si="14"/>
      </c>
      <c r="AE35" s="7">
        <f t="shared" si="15"/>
      </c>
      <c r="AF35" s="7">
        <f t="shared" si="16"/>
      </c>
      <c r="AG35" s="7">
        <f t="shared" si="17"/>
      </c>
      <c r="AH35" s="7">
        <f t="shared" si="18"/>
      </c>
      <c r="AI35" s="7">
        <f t="shared" si="19"/>
      </c>
      <c r="AJ35" s="7">
        <f t="shared" si="20"/>
      </c>
      <c r="AK35" s="7">
        <f t="shared" si="21"/>
      </c>
      <c r="AL35" s="7">
        <f t="shared" si="22"/>
      </c>
      <c r="AN35" s="7">
        <f t="shared" si="23"/>
      </c>
      <c r="AO35" s="7">
        <f t="shared" si="24"/>
      </c>
      <c r="AP35" s="7">
        <f t="shared" si="25"/>
      </c>
      <c r="AQ35" s="7">
        <f t="shared" si="26"/>
      </c>
      <c r="AR35" s="7">
        <f t="shared" si="27"/>
      </c>
      <c r="AS35" s="7">
        <f t="shared" si="28"/>
      </c>
      <c r="AT35" s="7">
        <f t="shared" si="29"/>
      </c>
      <c r="AU35" s="7">
        <f t="shared" si="30"/>
      </c>
      <c r="AV35" s="7">
        <f t="shared" si="31"/>
      </c>
      <c r="AW35" s="7">
        <f t="shared" si="32"/>
      </c>
      <c r="AY35" s="7">
        <f t="shared" si="33"/>
      </c>
      <c r="AZ35" s="7">
        <f t="shared" si="34"/>
      </c>
      <c r="BA35" s="7">
        <f t="shared" si="35"/>
      </c>
      <c r="BB35" s="7">
        <f t="shared" si="36"/>
      </c>
      <c r="BC35" s="7">
        <f t="shared" si="37"/>
      </c>
      <c r="BD35" s="7">
        <f t="shared" si="38"/>
      </c>
      <c r="BE35" s="7">
        <f t="shared" si="39"/>
      </c>
      <c r="BF35" s="7">
        <f t="shared" si="40"/>
      </c>
      <c r="BG35" s="7">
        <f t="shared" si="41"/>
      </c>
      <c r="BH35" s="7">
        <f t="shared" si="42"/>
      </c>
      <c r="BJ35" s="7">
        <f t="shared" si="43"/>
      </c>
      <c r="BK35" s="7">
        <f t="shared" si="44"/>
      </c>
      <c r="BL35" s="7">
        <f t="shared" si="45"/>
      </c>
      <c r="BM35" s="7">
        <f t="shared" si="46"/>
      </c>
      <c r="BN35" s="7">
        <f t="shared" si="47"/>
      </c>
      <c r="BO35" s="7">
        <f t="shared" si="48"/>
      </c>
      <c r="BP35" s="7">
        <f t="shared" si="49"/>
      </c>
      <c r="BQ35" s="7">
        <f t="shared" si="50"/>
      </c>
      <c r="BR35" s="7">
        <f t="shared" si="51"/>
      </c>
      <c r="BS35" s="7">
        <f t="shared" si="52"/>
      </c>
      <c r="BU35" s="7">
        <f t="shared" si="53"/>
      </c>
      <c r="BV35" s="7">
        <f t="shared" si="54"/>
      </c>
      <c r="BW35" s="7">
        <f t="shared" si="55"/>
      </c>
      <c r="BX35" s="7">
        <f t="shared" si="56"/>
      </c>
      <c r="BY35" s="7">
        <f t="shared" si="57"/>
      </c>
      <c r="BZ35" s="7">
        <f t="shared" si="58"/>
      </c>
      <c r="CA35" s="7">
        <f t="shared" si="59"/>
      </c>
      <c r="CB35" s="7">
        <f t="shared" si="60"/>
      </c>
      <c r="CC35" s="7">
        <f t="shared" si="61"/>
      </c>
      <c r="CD35" s="7">
        <f t="shared" si="62"/>
      </c>
      <c r="CF35" s="7">
        <f t="shared" si="63"/>
      </c>
      <c r="CG35" s="7">
        <f t="shared" si="64"/>
      </c>
      <c r="CH35" s="7">
        <f t="shared" si="65"/>
      </c>
      <c r="CI35" s="7">
        <f t="shared" si="66"/>
      </c>
      <c r="CJ35" s="7">
        <f t="shared" si="67"/>
      </c>
      <c r="CK35" s="7">
        <f t="shared" si="68"/>
      </c>
      <c r="CL35" s="7">
        <f t="shared" si="69"/>
      </c>
      <c r="CM35" s="7">
        <f t="shared" si="70"/>
      </c>
      <c r="CN35" s="7">
        <f t="shared" si="71"/>
      </c>
      <c r="CO35" s="7">
        <f t="shared" si="72"/>
      </c>
      <c r="CQ35" s="7">
        <f t="shared" si="73"/>
      </c>
      <c r="CR35" s="7">
        <f t="shared" si="74"/>
      </c>
      <c r="CS35" s="7">
        <f t="shared" si="75"/>
      </c>
      <c r="CT35" s="7">
        <f t="shared" si="76"/>
      </c>
      <c r="CU35" s="7">
        <f t="shared" si="77"/>
      </c>
      <c r="CV35" s="7">
        <f t="shared" si="78"/>
      </c>
      <c r="CW35" s="7">
        <f t="shared" si="79"/>
      </c>
      <c r="CX35" s="7">
        <f t="shared" si="80"/>
      </c>
      <c r="CY35" s="7">
        <f t="shared" si="81"/>
      </c>
      <c r="CZ35" s="7">
        <f t="shared" si="82"/>
      </c>
      <c r="DB35" s="7">
        <f t="shared" si="83"/>
      </c>
      <c r="DC35" s="7">
        <f t="shared" si="84"/>
      </c>
      <c r="DD35" s="7">
        <f t="shared" si="85"/>
      </c>
      <c r="DE35" s="7">
        <f t="shared" si="86"/>
      </c>
      <c r="DF35" s="7">
        <f t="shared" si="87"/>
      </c>
      <c r="DG35" s="7">
        <f t="shared" si="88"/>
      </c>
      <c r="DH35" s="7">
        <f t="shared" si="89"/>
      </c>
      <c r="DI35" s="7">
        <f t="shared" si="90"/>
      </c>
      <c r="DJ35" s="7">
        <f t="shared" si="91"/>
      </c>
      <c r="DK35" s="7">
        <f t="shared" si="92"/>
      </c>
    </row>
    <row r="36" spans="1:115" ht="11.25">
      <c r="A36" s="12"/>
      <c r="B36" s="17"/>
      <c r="C36" s="12">
        <f t="shared" si="98"/>
        <v>20</v>
      </c>
      <c r="D36" s="12">
        <f t="shared" si="102"/>
        <v>2.160196371916393</v>
      </c>
      <c r="E36" s="12">
        <f t="shared" si="102"/>
        <v>3.200079042826818</v>
      </c>
      <c r="F36" s="12">
        <f t="shared" si="101"/>
        <v>1.9141639643992823</v>
      </c>
      <c r="G36" s="12">
        <f t="shared" si="101"/>
        <v>3.2156466617568658</v>
      </c>
      <c r="H36" s="12">
        <f t="shared" si="101"/>
      </c>
      <c r="I36" s="12">
        <f t="shared" si="101"/>
      </c>
      <c r="J36" s="12">
        <f t="shared" si="101"/>
      </c>
      <c r="K36" s="12">
        <f t="shared" si="101"/>
      </c>
      <c r="L36" s="12">
        <f t="shared" si="101"/>
      </c>
      <c r="M36" s="12">
        <f t="shared" si="97"/>
        <v>10.49008604089936</v>
      </c>
      <c r="AB36" s="12"/>
      <c r="AC36" s="7">
        <f t="shared" si="13"/>
      </c>
      <c r="AD36" s="7">
        <f t="shared" si="14"/>
      </c>
      <c r="AE36" s="7">
        <f t="shared" si="15"/>
      </c>
      <c r="AF36" s="7">
        <f t="shared" si="16"/>
      </c>
      <c r="AG36" s="7">
        <f t="shared" si="17"/>
      </c>
      <c r="AH36" s="7">
        <f t="shared" si="18"/>
      </c>
      <c r="AI36" s="7">
        <f t="shared" si="19"/>
      </c>
      <c r="AJ36" s="7">
        <f t="shared" si="20"/>
      </c>
      <c r="AK36" s="7">
        <f t="shared" si="21"/>
      </c>
      <c r="AL36" s="7">
        <f t="shared" si="22"/>
      </c>
      <c r="AN36" s="7">
        <f t="shared" si="23"/>
      </c>
      <c r="AO36" s="7">
        <f t="shared" si="24"/>
      </c>
      <c r="AP36" s="7">
        <f t="shared" si="25"/>
      </c>
      <c r="AQ36" s="7">
        <f t="shared" si="26"/>
      </c>
      <c r="AR36" s="7">
        <f t="shared" si="27"/>
      </c>
      <c r="AS36" s="7">
        <f t="shared" si="28"/>
      </c>
      <c r="AT36" s="7">
        <f t="shared" si="29"/>
      </c>
      <c r="AU36" s="7">
        <f t="shared" si="30"/>
      </c>
      <c r="AV36" s="7">
        <f t="shared" si="31"/>
      </c>
      <c r="AW36" s="7">
        <f t="shared" si="32"/>
      </c>
      <c r="AY36" s="7">
        <f t="shared" si="33"/>
      </c>
      <c r="AZ36" s="7">
        <f t="shared" si="34"/>
      </c>
      <c r="BA36" s="7">
        <f t="shared" si="35"/>
      </c>
      <c r="BB36" s="7">
        <f t="shared" si="36"/>
      </c>
      <c r="BC36" s="7">
        <f t="shared" si="37"/>
      </c>
      <c r="BD36" s="7">
        <f t="shared" si="38"/>
      </c>
      <c r="BE36" s="7">
        <f t="shared" si="39"/>
      </c>
      <c r="BF36" s="7">
        <f t="shared" si="40"/>
      </c>
      <c r="BG36" s="7">
        <f t="shared" si="41"/>
      </c>
      <c r="BH36" s="7">
        <f t="shared" si="42"/>
      </c>
      <c r="BJ36" s="7">
        <f t="shared" si="43"/>
      </c>
      <c r="BK36" s="7">
        <f t="shared" si="44"/>
      </c>
      <c r="BL36" s="7">
        <f t="shared" si="45"/>
      </c>
      <c r="BM36" s="7">
        <f t="shared" si="46"/>
      </c>
      <c r="BN36" s="7">
        <f t="shared" si="47"/>
      </c>
      <c r="BO36" s="7">
        <f t="shared" si="48"/>
      </c>
      <c r="BP36" s="7">
        <f t="shared" si="49"/>
      </c>
      <c r="BQ36" s="7">
        <f t="shared" si="50"/>
      </c>
      <c r="BR36" s="7">
        <f t="shared" si="51"/>
      </c>
      <c r="BS36" s="7">
        <f t="shared" si="52"/>
      </c>
      <c r="BU36" s="7">
        <f t="shared" si="53"/>
      </c>
      <c r="BV36" s="7">
        <f t="shared" si="54"/>
      </c>
      <c r="BW36" s="7">
        <f t="shared" si="55"/>
      </c>
      <c r="BX36" s="7">
        <f t="shared" si="56"/>
      </c>
      <c r="BY36" s="7">
        <f t="shared" si="57"/>
      </c>
      <c r="BZ36" s="7">
        <f t="shared" si="58"/>
      </c>
      <c r="CA36" s="7">
        <f t="shared" si="59"/>
      </c>
      <c r="CB36" s="7">
        <f t="shared" si="60"/>
      </c>
      <c r="CC36" s="7">
        <f t="shared" si="61"/>
      </c>
      <c r="CD36" s="7">
        <f t="shared" si="62"/>
      </c>
      <c r="CF36" s="7">
        <f t="shared" si="63"/>
      </c>
      <c r="CG36" s="7">
        <f t="shared" si="64"/>
      </c>
      <c r="CH36" s="7">
        <f t="shared" si="65"/>
      </c>
      <c r="CI36" s="7">
        <f t="shared" si="66"/>
      </c>
      <c r="CJ36" s="7">
        <f t="shared" si="67"/>
      </c>
      <c r="CK36" s="7">
        <f t="shared" si="68"/>
      </c>
      <c r="CL36" s="7">
        <f t="shared" si="69"/>
      </c>
      <c r="CM36" s="7">
        <f t="shared" si="70"/>
      </c>
      <c r="CN36" s="7">
        <f t="shared" si="71"/>
      </c>
      <c r="CO36" s="7">
        <f t="shared" si="72"/>
      </c>
      <c r="CQ36" s="7">
        <f t="shared" si="73"/>
      </c>
      <c r="CR36" s="7">
        <f t="shared" si="74"/>
      </c>
      <c r="CS36" s="7">
        <f t="shared" si="75"/>
      </c>
      <c r="CT36" s="7">
        <f t="shared" si="76"/>
      </c>
      <c r="CU36" s="7">
        <f t="shared" si="77"/>
      </c>
      <c r="CV36" s="7">
        <f t="shared" si="78"/>
      </c>
      <c r="CW36" s="7">
        <f t="shared" si="79"/>
      </c>
      <c r="CX36" s="7">
        <f t="shared" si="80"/>
      </c>
      <c r="CY36" s="7">
        <f t="shared" si="81"/>
      </c>
      <c r="CZ36" s="7">
        <f t="shared" si="82"/>
      </c>
      <c r="DB36" s="7">
        <f t="shared" si="83"/>
      </c>
      <c r="DC36" s="7">
        <f t="shared" si="84"/>
      </c>
      <c r="DD36" s="7">
        <f t="shared" si="85"/>
      </c>
      <c r="DE36" s="7">
        <f t="shared" si="86"/>
      </c>
      <c r="DF36" s="7">
        <f t="shared" si="87"/>
      </c>
      <c r="DG36" s="7">
        <f t="shared" si="88"/>
      </c>
      <c r="DH36" s="7">
        <f t="shared" si="89"/>
      </c>
      <c r="DI36" s="7">
        <f t="shared" si="90"/>
      </c>
      <c r="DJ36" s="7">
        <f t="shared" si="91"/>
      </c>
      <c r="DK36" s="7">
        <f t="shared" si="92"/>
      </c>
    </row>
    <row r="37" spans="1:115" ht="11.25">
      <c r="A37" s="12"/>
      <c r="B37" s="18"/>
      <c r="C37" s="11">
        <f t="shared" si="98"/>
        <v>30</v>
      </c>
      <c r="D37" s="11">
        <f t="shared" si="102"/>
        <v>2.2646294118877566</v>
      </c>
      <c r="E37" s="11">
        <f t="shared" si="102"/>
        <v>4.220752840602992</v>
      </c>
      <c r="F37" s="11">
        <f t="shared" si="101"/>
        <v>2.705373431801279</v>
      </c>
      <c r="G37" s="11">
        <f t="shared" si="101"/>
        <v>4.5930186985100745</v>
      </c>
      <c r="H37" s="11">
        <f t="shared" si="101"/>
      </c>
      <c r="I37" s="11">
        <f t="shared" si="101"/>
      </c>
      <c r="J37" s="11">
        <f t="shared" si="101"/>
      </c>
      <c r="K37" s="11">
        <f t="shared" si="101"/>
      </c>
      <c r="L37" s="11">
        <f t="shared" si="101"/>
      </c>
      <c r="M37" s="11">
        <f t="shared" si="97"/>
        <v>13.7837743828021</v>
      </c>
      <c r="AB37" s="12"/>
      <c r="AC37" s="7">
        <f t="shared" si="13"/>
      </c>
      <c r="AD37" s="7">
        <f t="shared" si="14"/>
      </c>
      <c r="AE37" s="7">
        <f t="shared" si="15"/>
      </c>
      <c r="AF37" s="7">
        <f t="shared" si="16"/>
      </c>
      <c r="AG37" s="7">
        <f t="shared" si="17"/>
      </c>
      <c r="AH37" s="7">
        <f t="shared" si="18"/>
      </c>
      <c r="AI37" s="7">
        <f t="shared" si="19"/>
      </c>
      <c r="AJ37" s="7">
        <f t="shared" si="20"/>
      </c>
      <c r="AK37" s="7">
        <f t="shared" si="21"/>
      </c>
      <c r="AL37" s="7">
        <f t="shared" si="22"/>
      </c>
      <c r="AN37" s="7">
        <f t="shared" si="23"/>
      </c>
      <c r="AO37" s="7">
        <f t="shared" si="24"/>
      </c>
      <c r="AP37" s="7">
        <f t="shared" si="25"/>
      </c>
      <c r="AQ37" s="7">
        <f t="shared" si="26"/>
      </c>
      <c r="AR37" s="7">
        <f t="shared" si="27"/>
      </c>
      <c r="AS37" s="7">
        <f t="shared" si="28"/>
      </c>
      <c r="AT37" s="7">
        <f t="shared" si="29"/>
      </c>
      <c r="AU37" s="7">
        <f t="shared" si="30"/>
      </c>
      <c r="AV37" s="7">
        <f t="shared" si="31"/>
      </c>
      <c r="AW37" s="7">
        <f t="shared" si="32"/>
      </c>
      <c r="AY37" s="7">
        <f t="shared" si="33"/>
      </c>
      <c r="AZ37" s="7">
        <f t="shared" si="34"/>
      </c>
      <c r="BA37" s="7">
        <f t="shared" si="35"/>
      </c>
      <c r="BB37" s="7">
        <f t="shared" si="36"/>
      </c>
      <c r="BC37" s="7">
        <f t="shared" si="37"/>
      </c>
      <c r="BD37" s="7">
        <f t="shared" si="38"/>
      </c>
      <c r="BE37" s="7">
        <f t="shared" si="39"/>
      </c>
      <c r="BF37" s="7">
        <f t="shared" si="40"/>
      </c>
      <c r="BG37" s="7">
        <f t="shared" si="41"/>
      </c>
      <c r="BH37" s="7">
        <f t="shared" si="42"/>
      </c>
      <c r="BJ37" s="7">
        <f t="shared" si="43"/>
      </c>
      <c r="BK37" s="7">
        <f t="shared" si="44"/>
      </c>
      <c r="BL37" s="7">
        <f t="shared" si="45"/>
      </c>
      <c r="BM37" s="7">
        <f t="shared" si="46"/>
      </c>
      <c r="BN37" s="7">
        <f t="shared" si="47"/>
      </c>
      <c r="BO37" s="7">
        <f t="shared" si="48"/>
      </c>
      <c r="BP37" s="7">
        <f t="shared" si="49"/>
      </c>
      <c r="BQ37" s="7">
        <f t="shared" si="50"/>
      </c>
      <c r="BR37" s="7">
        <f t="shared" si="51"/>
      </c>
      <c r="BS37" s="7">
        <f t="shared" si="52"/>
      </c>
      <c r="BU37" s="7">
        <f t="shared" si="53"/>
      </c>
      <c r="BV37" s="7">
        <f t="shared" si="54"/>
      </c>
      <c r="BW37" s="7">
        <f t="shared" si="55"/>
      </c>
      <c r="BX37" s="7">
        <f t="shared" si="56"/>
      </c>
      <c r="BY37" s="7">
        <f t="shared" si="57"/>
      </c>
      <c r="BZ37" s="7">
        <f t="shared" si="58"/>
      </c>
      <c r="CA37" s="7">
        <f t="shared" si="59"/>
      </c>
      <c r="CB37" s="7">
        <f t="shared" si="60"/>
      </c>
      <c r="CC37" s="7">
        <f t="shared" si="61"/>
      </c>
      <c r="CD37" s="7">
        <f t="shared" si="62"/>
      </c>
      <c r="CF37" s="7">
        <f t="shared" si="63"/>
      </c>
      <c r="CG37" s="7">
        <f t="shared" si="64"/>
      </c>
      <c r="CH37" s="7">
        <f t="shared" si="65"/>
      </c>
      <c r="CI37" s="7">
        <f t="shared" si="66"/>
      </c>
      <c r="CJ37" s="7">
        <f t="shared" si="67"/>
      </c>
      <c r="CK37" s="7">
        <f t="shared" si="68"/>
      </c>
      <c r="CL37" s="7">
        <f t="shared" si="69"/>
      </c>
      <c r="CM37" s="7">
        <f t="shared" si="70"/>
      </c>
      <c r="CN37" s="7">
        <f t="shared" si="71"/>
      </c>
      <c r="CO37" s="7">
        <f t="shared" si="72"/>
      </c>
      <c r="CQ37" s="7">
        <f t="shared" si="73"/>
      </c>
      <c r="CR37" s="7">
        <f t="shared" si="74"/>
      </c>
      <c r="CS37" s="7">
        <f t="shared" si="75"/>
      </c>
      <c r="CT37" s="7">
        <f t="shared" si="76"/>
      </c>
      <c r="CU37" s="7">
        <f t="shared" si="77"/>
      </c>
      <c r="CV37" s="7">
        <f t="shared" si="78"/>
      </c>
      <c r="CW37" s="7">
        <f t="shared" si="79"/>
      </c>
      <c r="CX37" s="7">
        <f t="shared" si="80"/>
      </c>
      <c r="CY37" s="7">
        <f t="shared" si="81"/>
      </c>
      <c r="CZ37" s="7">
        <f t="shared" si="82"/>
      </c>
      <c r="DB37" s="7">
        <f t="shared" si="83"/>
      </c>
      <c r="DC37" s="7">
        <f t="shared" si="84"/>
      </c>
      <c r="DD37" s="7">
        <f t="shared" si="85"/>
      </c>
      <c r="DE37" s="7">
        <f t="shared" si="86"/>
      </c>
      <c r="DF37" s="7">
        <f t="shared" si="87"/>
      </c>
      <c r="DG37" s="7">
        <f t="shared" si="88"/>
      </c>
      <c r="DH37" s="7">
        <f t="shared" si="89"/>
      </c>
      <c r="DI37" s="7">
        <f t="shared" si="90"/>
      </c>
      <c r="DJ37" s="7">
        <f t="shared" si="91"/>
      </c>
      <c r="DK37" s="7">
        <f t="shared" si="92"/>
      </c>
    </row>
    <row r="38" spans="1:115" ht="11.25">
      <c r="A38" s="12"/>
      <c r="B38" s="12"/>
      <c r="C38" s="12" t="s">
        <v>89</v>
      </c>
      <c r="D38" s="12">
        <f>SUMPRODUCT(Bval,e1b)+D15</f>
        <v>0.7725667178640001</v>
      </c>
      <c r="E38" s="12">
        <f>IF(E15="","",SUMPRODUCT(Bval,e2b)+E15)</f>
        <v>1.1770583824079999</v>
      </c>
      <c r="F38" s="12">
        <f>IF(F15="","",SUMPRODUCT(Bval,e3b)+F15)</f>
        <v>0.6666301071240008</v>
      </c>
      <c r="G38" s="12">
        <f>IF(G15="","",SUMPRODUCT(Bval,e4b)+G15)</f>
        <v>1.185906689755999</v>
      </c>
      <c r="H38" s="12">
        <f>IF(H15="","",SUMPRODUCT(Bval,e5b)+H15)</f>
      </c>
      <c r="I38" s="12">
        <f>IF(I15="","",SUMPRODUCT(Bval,e6b)+I15)</f>
      </c>
      <c r="J38" s="12">
        <f>IF(J15="","",SUMPRODUCT(Bval,e7b)+J15)</f>
      </c>
      <c r="K38" s="12">
        <f>IF(K15="","",SUMPRODUCT(Bval,e8b)+K15)</f>
      </c>
      <c r="L38" s="12">
        <f>IF(L15="","",SUMPRODUCT(Bval,e9b)+L15)</f>
      </c>
      <c r="M38" s="12"/>
      <c r="AB38" s="12"/>
      <c r="AC38" s="7">
        <f t="shared" si="13"/>
      </c>
      <c r="AD38" s="7">
        <f t="shared" si="14"/>
      </c>
      <c r="AE38" s="7">
        <f t="shared" si="15"/>
      </c>
      <c r="AF38" s="7">
        <f t="shared" si="16"/>
      </c>
      <c r="AG38" s="7">
        <f t="shared" si="17"/>
      </c>
      <c r="AH38" s="7">
        <f t="shared" si="18"/>
      </c>
      <c r="AI38" s="7">
        <f t="shared" si="19"/>
      </c>
      <c r="AJ38" s="7">
        <f t="shared" si="20"/>
      </c>
      <c r="AK38" s="7">
        <f t="shared" si="21"/>
      </c>
      <c r="AL38" s="7">
        <f t="shared" si="22"/>
      </c>
      <c r="AN38" s="7">
        <f t="shared" si="23"/>
      </c>
      <c r="AO38" s="7">
        <f t="shared" si="24"/>
      </c>
      <c r="AP38" s="7">
        <f t="shared" si="25"/>
      </c>
      <c r="AQ38" s="7">
        <f t="shared" si="26"/>
      </c>
      <c r="AR38" s="7">
        <f t="shared" si="27"/>
      </c>
      <c r="AS38" s="7">
        <f t="shared" si="28"/>
      </c>
      <c r="AT38" s="7">
        <f t="shared" si="29"/>
      </c>
      <c r="AU38" s="7">
        <f t="shared" si="30"/>
      </c>
      <c r="AV38" s="7">
        <f t="shared" si="31"/>
      </c>
      <c r="AW38" s="7">
        <f t="shared" si="32"/>
      </c>
      <c r="AY38" s="7">
        <f t="shared" si="33"/>
      </c>
      <c r="AZ38" s="7">
        <f t="shared" si="34"/>
      </c>
      <c r="BA38" s="7">
        <f t="shared" si="35"/>
      </c>
      <c r="BB38" s="7">
        <f t="shared" si="36"/>
      </c>
      <c r="BC38" s="7">
        <f t="shared" si="37"/>
      </c>
      <c r="BD38" s="7">
        <f t="shared" si="38"/>
      </c>
      <c r="BE38" s="7">
        <f t="shared" si="39"/>
      </c>
      <c r="BF38" s="7">
        <f t="shared" si="40"/>
      </c>
      <c r="BG38" s="7">
        <f t="shared" si="41"/>
      </c>
      <c r="BH38" s="7">
        <f t="shared" si="42"/>
      </c>
      <c r="BJ38" s="7">
        <f t="shared" si="43"/>
      </c>
      <c r="BK38" s="7">
        <f t="shared" si="44"/>
      </c>
      <c r="BL38" s="7">
        <f t="shared" si="45"/>
      </c>
      <c r="BM38" s="7">
        <f t="shared" si="46"/>
      </c>
      <c r="BN38" s="7">
        <f t="shared" si="47"/>
      </c>
      <c r="BO38" s="7">
        <f t="shared" si="48"/>
      </c>
      <c r="BP38" s="7">
        <f t="shared" si="49"/>
      </c>
      <c r="BQ38" s="7">
        <f t="shared" si="50"/>
      </c>
      <c r="BR38" s="7">
        <f t="shared" si="51"/>
      </c>
      <c r="BS38" s="7">
        <f t="shared" si="52"/>
      </c>
      <c r="BU38" s="7">
        <f t="shared" si="53"/>
      </c>
      <c r="BV38" s="7">
        <f t="shared" si="54"/>
      </c>
      <c r="BW38" s="7">
        <f t="shared" si="55"/>
      </c>
      <c r="BX38" s="7">
        <f t="shared" si="56"/>
      </c>
      <c r="BY38" s="7">
        <f t="shared" si="57"/>
      </c>
      <c r="BZ38" s="7">
        <f t="shared" si="58"/>
      </c>
      <c r="CA38" s="7">
        <f t="shared" si="59"/>
      </c>
      <c r="CB38" s="7">
        <f t="shared" si="60"/>
      </c>
      <c r="CC38" s="7">
        <f t="shared" si="61"/>
      </c>
      <c r="CD38" s="7">
        <f t="shared" si="62"/>
      </c>
      <c r="CF38" s="7">
        <f t="shared" si="63"/>
      </c>
      <c r="CG38" s="7">
        <f t="shared" si="64"/>
      </c>
      <c r="CH38" s="7">
        <f t="shared" si="65"/>
      </c>
      <c r="CI38" s="7">
        <f t="shared" si="66"/>
      </c>
      <c r="CJ38" s="7">
        <f t="shared" si="67"/>
      </c>
      <c r="CK38" s="7">
        <f t="shared" si="68"/>
      </c>
      <c r="CL38" s="7">
        <f t="shared" si="69"/>
      </c>
      <c r="CM38" s="7">
        <f t="shared" si="70"/>
      </c>
      <c r="CN38" s="7">
        <f t="shared" si="71"/>
      </c>
      <c r="CO38" s="7">
        <f t="shared" si="72"/>
      </c>
      <c r="CQ38" s="7">
        <f t="shared" si="73"/>
      </c>
      <c r="CR38" s="7">
        <f t="shared" si="74"/>
      </c>
      <c r="CS38" s="7">
        <f t="shared" si="75"/>
      </c>
      <c r="CT38" s="7">
        <f t="shared" si="76"/>
      </c>
      <c r="CU38" s="7">
        <f t="shared" si="77"/>
      </c>
      <c r="CV38" s="7">
        <f t="shared" si="78"/>
      </c>
      <c r="CW38" s="7">
        <f t="shared" si="79"/>
      </c>
      <c r="CX38" s="7">
        <f t="shared" si="80"/>
      </c>
      <c r="CY38" s="7">
        <f t="shared" si="81"/>
      </c>
      <c r="CZ38" s="7">
        <f t="shared" si="82"/>
      </c>
      <c r="DB38" s="7">
        <f t="shared" si="83"/>
      </c>
      <c r="DC38" s="7">
        <f t="shared" si="84"/>
      </c>
      <c r="DD38" s="7">
        <f t="shared" si="85"/>
      </c>
      <c r="DE38" s="7">
        <f t="shared" si="86"/>
      </c>
      <c r="DF38" s="7">
        <f t="shared" si="87"/>
      </c>
      <c r="DG38" s="7">
        <f t="shared" si="88"/>
      </c>
      <c r="DH38" s="7">
        <f t="shared" si="89"/>
      </c>
      <c r="DI38" s="7">
        <f t="shared" si="90"/>
      </c>
      <c r="DJ38" s="7">
        <f t="shared" si="91"/>
      </c>
      <c r="DK38" s="7">
        <f t="shared" si="92"/>
      </c>
    </row>
    <row r="39" spans="28:115" ht="11.25">
      <c r="AB39" s="12"/>
      <c r="AC39" s="7">
        <f t="shared" si="13"/>
      </c>
      <c r="AD39" s="7">
        <f t="shared" si="14"/>
      </c>
      <c r="AE39" s="7">
        <f t="shared" si="15"/>
      </c>
      <c r="AF39" s="7">
        <f t="shared" si="16"/>
      </c>
      <c r="AG39" s="7">
        <f t="shared" si="17"/>
      </c>
      <c r="AH39" s="7">
        <f t="shared" si="18"/>
      </c>
      <c r="AI39" s="7">
        <f t="shared" si="19"/>
      </c>
      <c r="AJ39" s="7">
        <f t="shared" si="20"/>
      </c>
      <c r="AK39" s="7">
        <f t="shared" si="21"/>
      </c>
      <c r="AL39" s="7">
        <f t="shared" si="22"/>
      </c>
      <c r="AN39" s="7">
        <f t="shared" si="23"/>
      </c>
      <c r="AO39" s="7">
        <f t="shared" si="24"/>
      </c>
      <c r="AP39" s="7">
        <f t="shared" si="25"/>
      </c>
      <c r="AQ39" s="7">
        <f t="shared" si="26"/>
      </c>
      <c r="AR39" s="7">
        <f t="shared" si="27"/>
      </c>
      <c r="AS39" s="7">
        <f t="shared" si="28"/>
      </c>
      <c r="AT39" s="7">
        <f t="shared" si="29"/>
      </c>
      <c r="AU39" s="7">
        <f t="shared" si="30"/>
      </c>
      <c r="AV39" s="7">
        <f t="shared" si="31"/>
      </c>
      <c r="AW39" s="7">
        <f t="shared" si="32"/>
      </c>
      <c r="AY39" s="7">
        <f t="shared" si="33"/>
      </c>
      <c r="AZ39" s="7">
        <f t="shared" si="34"/>
      </c>
      <c r="BA39" s="7">
        <f t="shared" si="35"/>
      </c>
      <c r="BB39" s="7">
        <f t="shared" si="36"/>
      </c>
      <c r="BC39" s="7">
        <f t="shared" si="37"/>
      </c>
      <c r="BD39" s="7">
        <f t="shared" si="38"/>
      </c>
      <c r="BE39" s="7">
        <f t="shared" si="39"/>
      </c>
      <c r="BF39" s="7">
        <f t="shared" si="40"/>
      </c>
      <c r="BG39" s="7">
        <f t="shared" si="41"/>
      </c>
      <c r="BH39" s="7">
        <f t="shared" si="42"/>
      </c>
      <c r="BJ39" s="7">
        <f t="shared" si="43"/>
      </c>
      <c r="BK39" s="7">
        <f t="shared" si="44"/>
      </c>
      <c r="BL39" s="7">
        <f t="shared" si="45"/>
      </c>
      <c r="BM39" s="7">
        <f t="shared" si="46"/>
      </c>
      <c r="BN39" s="7">
        <f t="shared" si="47"/>
      </c>
      <c r="BO39" s="7">
        <f t="shared" si="48"/>
      </c>
      <c r="BP39" s="7">
        <f t="shared" si="49"/>
      </c>
      <c r="BQ39" s="7">
        <f t="shared" si="50"/>
      </c>
      <c r="BR39" s="7">
        <f t="shared" si="51"/>
      </c>
      <c r="BS39" s="7">
        <f t="shared" si="52"/>
      </c>
      <c r="BU39" s="7">
        <f t="shared" si="53"/>
      </c>
      <c r="BV39" s="7">
        <f t="shared" si="54"/>
      </c>
      <c r="BW39" s="7">
        <f t="shared" si="55"/>
      </c>
      <c r="BX39" s="7">
        <f t="shared" si="56"/>
      </c>
      <c r="BY39" s="7">
        <f t="shared" si="57"/>
      </c>
      <c r="BZ39" s="7">
        <f t="shared" si="58"/>
      </c>
      <c r="CA39" s="7">
        <f t="shared" si="59"/>
      </c>
      <c r="CB39" s="7">
        <f t="shared" si="60"/>
      </c>
      <c r="CC39" s="7">
        <f t="shared" si="61"/>
      </c>
      <c r="CD39" s="7">
        <f t="shared" si="62"/>
      </c>
      <c r="CF39" s="7">
        <f t="shared" si="63"/>
      </c>
      <c r="CG39" s="7">
        <f t="shared" si="64"/>
      </c>
      <c r="CH39" s="7">
        <f t="shared" si="65"/>
      </c>
      <c r="CI39" s="7">
        <f t="shared" si="66"/>
      </c>
      <c r="CJ39" s="7">
        <f t="shared" si="67"/>
      </c>
      <c r="CK39" s="7">
        <f t="shared" si="68"/>
      </c>
      <c r="CL39" s="7">
        <f t="shared" si="69"/>
      </c>
      <c r="CM39" s="7">
        <f t="shared" si="70"/>
      </c>
      <c r="CN39" s="7">
        <f t="shared" si="71"/>
      </c>
      <c r="CO39" s="7">
        <f t="shared" si="72"/>
      </c>
      <c r="CQ39" s="7">
        <f t="shared" si="73"/>
      </c>
      <c r="CR39" s="7">
        <f t="shared" si="74"/>
      </c>
      <c r="CS39" s="7">
        <f t="shared" si="75"/>
      </c>
      <c r="CT39" s="7">
        <f t="shared" si="76"/>
      </c>
      <c r="CU39" s="7">
        <f t="shared" si="77"/>
      </c>
      <c r="CV39" s="7">
        <f t="shared" si="78"/>
      </c>
      <c r="CW39" s="7">
        <f t="shared" si="79"/>
      </c>
      <c r="CX39" s="7">
        <f t="shared" si="80"/>
      </c>
      <c r="CY39" s="7">
        <f t="shared" si="81"/>
      </c>
      <c r="CZ39" s="7">
        <f t="shared" si="82"/>
      </c>
      <c r="DB39" s="7">
        <f t="shared" si="83"/>
      </c>
      <c r="DC39" s="7">
        <f t="shared" si="84"/>
      </c>
      <c r="DD39" s="7">
        <f t="shared" si="85"/>
      </c>
      <c r="DE39" s="7">
        <f t="shared" si="86"/>
      </c>
      <c r="DF39" s="7">
        <f t="shared" si="87"/>
      </c>
      <c r="DG39" s="7">
        <f t="shared" si="88"/>
      </c>
      <c r="DH39" s="7">
        <f t="shared" si="89"/>
      </c>
      <c r="DI39" s="7">
        <f t="shared" si="90"/>
      </c>
      <c r="DJ39" s="7">
        <f t="shared" si="91"/>
      </c>
      <c r="DK39" s="7">
        <f t="shared" si="92"/>
      </c>
    </row>
    <row r="40" spans="28:115" ht="11.25">
      <c r="AB40" s="12"/>
      <c r="AC40" s="7">
        <f t="shared" si="13"/>
      </c>
      <c r="AD40" s="7">
        <f t="shared" si="14"/>
      </c>
      <c r="AE40" s="7">
        <f t="shared" si="15"/>
      </c>
      <c r="AF40" s="7">
        <f t="shared" si="16"/>
      </c>
      <c r="AG40" s="7">
        <f t="shared" si="17"/>
      </c>
      <c r="AH40" s="7">
        <f t="shared" si="18"/>
      </c>
      <c r="AI40" s="7">
        <f t="shared" si="19"/>
      </c>
      <c r="AJ40" s="7">
        <f t="shared" si="20"/>
      </c>
      <c r="AK40" s="7">
        <f t="shared" si="21"/>
      </c>
      <c r="AL40" s="7">
        <f t="shared" si="22"/>
      </c>
      <c r="AN40" s="7">
        <f t="shared" si="23"/>
      </c>
      <c r="AO40" s="7">
        <f t="shared" si="24"/>
      </c>
      <c r="AP40" s="7">
        <f t="shared" si="25"/>
      </c>
      <c r="AQ40" s="7">
        <f t="shared" si="26"/>
      </c>
      <c r="AR40" s="7">
        <f t="shared" si="27"/>
      </c>
      <c r="AS40" s="7">
        <f t="shared" si="28"/>
      </c>
      <c r="AT40" s="7">
        <f t="shared" si="29"/>
      </c>
      <c r="AU40" s="7">
        <f t="shared" si="30"/>
      </c>
      <c r="AV40" s="7">
        <f t="shared" si="31"/>
      </c>
      <c r="AW40" s="7">
        <f t="shared" si="32"/>
      </c>
      <c r="AY40" s="7">
        <f t="shared" si="33"/>
      </c>
      <c r="AZ40" s="7">
        <f t="shared" si="34"/>
      </c>
      <c r="BA40" s="7">
        <f t="shared" si="35"/>
      </c>
      <c r="BB40" s="7">
        <f t="shared" si="36"/>
      </c>
      <c r="BC40" s="7">
        <f t="shared" si="37"/>
      </c>
      <c r="BD40" s="7">
        <f t="shared" si="38"/>
      </c>
      <c r="BE40" s="7">
        <f t="shared" si="39"/>
      </c>
      <c r="BF40" s="7">
        <f t="shared" si="40"/>
      </c>
      <c r="BG40" s="7">
        <f t="shared" si="41"/>
      </c>
      <c r="BH40" s="7">
        <f t="shared" si="42"/>
      </c>
      <c r="BJ40" s="7">
        <f t="shared" si="43"/>
      </c>
      <c r="BK40" s="7">
        <f t="shared" si="44"/>
      </c>
      <c r="BL40" s="7">
        <f t="shared" si="45"/>
      </c>
      <c r="BM40" s="7">
        <f t="shared" si="46"/>
      </c>
      <c r="BN40" s="7">
        <f t="shared" si="47"/>
      </c>
      <c r="BO40" s="7">
        <f t="shared" si="48"/>
      </c>
      <c r="BP40" s="7">
        <f t="shared" si="49"/>
      </c>
      <c r="BQ40" s="7">
        <f t="shared" si="50"/>
      </c>
      <c r="BR40" s="7">
        <f t="shared" si="51"/>
      </c>
      <c r="BS40" s="7">
        <f t="shared" si="52"/>
      </c>
      <c r="BU40" s="7">
        <f t="shared" si="53"/>
      </c>
      <c r="BV40" s="7">
        <f t="shared" si="54"/>
      </c>
      <c r="BW40" s="7">
        <f t="shared" si="55"/>
      </c>
      <c r="BX40" s="7">
        <f t="shared" si="56"/>
      </c>
      <c r="BY40" s="7">
        <f t="shared" si="57"/>
      </c>
      <c r="BZ40" s="7">
        <f t="shared" si="58"/>
      </c>
      <c r="CA40" s="7">
        <f t="shared" si="59"/>
      </c>
      <c r="CB40" s="7">
        <f t="shared" si="60"/>
      </c>
      <c r="CC40" s="7">
        <f t="shared" si="61"/>
      </c>
      <c r="CD40" s="7">
        <f t="shared" si="62"/>
      </c>
      <c r="CF40" s="7">
        <f t="shared" si="63"/>
      </c>
      <c r="CG40" s="7">
        <f t="shared" si="64"/>
      </c>
      <c r="CH40" s="7">
        <f t="shared" si="65"/>
      </c>
      <c r="CI40" s="7">
        <f t="shared" si="66"/>
      </c>
      <c r="CJ40" s="7">
        <f t="shared" si="67"/>
      </c>
      <c r="CK40" s="7">
        <f t="shared" si="68"/>
      </c>
      <c r="CL40" s="7">
        <f t="shared" si="69"/>
      </c>
      <c r="CM40" s="7">
        <f t="shared" si="70"/>
      </c>
      <c r="CN40" s="7">
        <f t="shared" si="71"/>
      </c>
      <c r="CO40" s="7">
        <f t="shared" si="72"/>
      </c>
      <c r="CQ40" s="7">
        <f t="shared" si="73"/>
      </c>
      <c r="CR40" s="7">
        <f t="shared" si="74"/>
      </c>
      <c r="CS40" s="7">
        <f t="shared" si="75"/>
      </c>
      <c r="CT40" s="7">
        <f t="shared" si="76"/>
      </c>
      <c r="CU40" s="7">
        <f t="shared" si="77"/>
      </c>
      <c r="CV40" s="7">
        <f t="shared" si="78"/>
      </c>
      <c r="CW40" s="7">
        <f t="shared" si="79"/>
      </c>
      <c r="CX40" s="7">
        <f t="shared" si="80"/>
      </c>
      <c r="CY40" s="7">
        <f t="shared" si="81"/>
      </c>
      <c r="CZ40" s="7">
        <f t="shared" si="82"/>
      </c>
      <c r="DB40" s="7">
        <f t="shared" si="83"/>
      </c>
      <c r="DC40" s="7">
        <f t="shared" si="84"/>
      </c>
      <c r="DD40" s="7">
        <f t="shared" si="85"/>
      </c>
      <c r="DE40" s="7">
        <f t="shared" si="86"/>
      </c>
      <c r="DF40" s="7">
        <f t="shared" si="87"/>
      </c>
      <c r="DG40" s="7">
        <f t="shared" si="88"/>
      </c>
      <c r="DH40" s="7">
        <f t="shared" si="89"/>
      </c>
      <c r="DI40" s="7">
        <f t="shared" si="90"/>
      </c>
      <c r="DJ40" s="7">
        <f t="shared" si="91"/>
      </c>
      <c r="DK40" s="7">
        <f t="shared" si="92"/>
      </c>
    </row>
    <row r="41" spans="28:115" ht="11.25">
      <c r="AB41" s="12"/>
      <c r="AC41" s="7">
        <f t="shared" si="13"/>
      </c>
      <c r="AD41" s="7">
        <f t="shared" si="14"/>
      </c>
      <c r="AE41" s="7">
        <f t="shared" si="15"/>
      </c>
      <c r="AF41" s="7">
        <f t="shared" si="16"/>
      </c>
      <c r="AG41" s="7">
        <f t="shared" si="17"/>
      </c>
      <c r="AH41" s="7">
        <f t="shared" si="18"/>
      </c>
      <c r="AI41" s="7">
        <f t="shared" si="19"/>
      </c>
      <c r="AJ41" s="7">
        <f t="shared" si="20"/>
      </c>
      <c r="AK41" s="7">
        <f t="shared" si="21"/>
      </c>
      <c r="AL41" s="7">
        <f t="shared" si="22"/>
      </c>
      <c r="AN41" s="7">
        <f t="shared" si="23"/>
      </c>
      <c r="AO41" s="7">
        <f t="shared" si="24"/>
      </c>
      <c r="AP41" s="7">
        <f t="shared" si="25"/>
      </c>
      <c r="AQ41" s="7">
        <f t="shared" si="26"/>
      </c>
      <c r="AR41" s="7">
        <f t="shared" si="27"/>
      </c>
      <c r="AS41" s="7">
        <f t="shared" si="28"/>
      </c>
      <c r="AT41" s="7">
        <f t="shared" si="29"/>
      </c>
      <c r="AU41" s="7">
        <f t="shared" si="30"/>
      </c>
      <c r="AV41" s="7">
        <f t="shared" si="31"/>
      </c>
      <c r="AW41" s="7">
        <f t="shared" si="32"/>
      </c>
      <c r="AY41" s="7">
        <f t="shared" si="33"/>
      </c>
      <c r="AZ41" s="7">
        <f t="shared" si="34"/>
      </c>
      <c r="BA41" s="7">
        <f t="shared" si="35"/>
      </c>
      <c r="BB41" s="7">
        <f t="shared" si="36"/>
      </c>
      <c r="BC41" s="7">
        <f t="shared" si="37"/>
      </c>
      <c r="BD41" s="7">
        <f t="shared" si="38"/>
      </c>
      <c r="BE41" s="7">
        <f t="shared" si="39"/>
      </c>
      <c r="BF41" s="7">
        <f t="shared" si="40"/>
      </c>
      <c r="BG41" s="7">
        <f t="shared" si="41"/>
      </c>
      <c r="BH41" s="7">
        <f t="shared" si="42"/>
      </c>
      <c r="BJ41" s="7">
        <f t="shared" si="43"/>
      </c>
      <c r="BK41" s="7">
        <f t="shared" si="44"/>
      </c>
      <c r="BL41" s="7">
        <f t="shared" si="45"/>
      </c>
      <c r="BM41" s="7">
        <f t="shared" si="46"/>
      </c>
      <c r="BN41" s="7">
        <f t="shared" si="47"/>
      </c>
      <c r="BO41" s="7">
        <f t="shared" si="48"/>
      </c>
      <c r="BP41" s="7">
        <f t="shared" si="49"/>
      </c>
      <c r="BQ41" s="7">
        <f t="shared" si="50"/>
      </c>
      <c r="BR41" s="7">
        <f t="shared" si="51"/>
      </c>
      <c r="BS41" s="7">
        <f t="shared" si="52"/>
      </c>
      <c r="BU41" s="7">
        <f t="shared" si="53"/>
      </c>
      <c r="BV41" s="7">
        <f t="shared" si="54"/>
      </c>
      <c r="BW41" s="7">
        <f t="shared" si="55"/>
      </c>
      <c r="BX41" s="7">
        <f t="shared" si="56"/>
      </c>
      <c r="BY41" s="7">
        <f t="shared" si="57"/>
      </c>
      <c r="BZ41" s="7">
        <f t="shared" si="58"/>
      </c>
      <c r="CA41" s="7">
        <f t="shared" si="59"/>
      </c>
      <c r="CB41" s="7">
        <f t="shared" si="60"/>
      </c>
      <c r="CC41" s="7">
        <f t="shared" si="61"/>
      </c>
      <c r="CD41" s="7">
        <f t="shared" si="62"/>
      </c>
      <c r="CF41" s="7">
        <f t="shared" si="63"/>
      </c>
      <c r="CG41" s="7">
        <f t="shared" si="64"/>
      </c>
      <c r="CH41" s="7">
        <f t="shared" si="65"/>
      </c>
      <c r="CI41" s="7">
        <f t="shared" si="66"/>
      </c>
      <c r="CJ41" s="7">
        <f t="shared" si="67"/>
      </c>
      <c r="CK41" s="7">
        <f t="shared" si="68"/>
      </c>
      <c r="CL41" s="7">
        <f t="shared" si="69"/>
      </c>
      <c r="CM41" s="7">
        <f t="shared" si="70"/>
      </c>
      <c r="CN41" s="7">
        <f t="shared" si="71"/>
      </c>
      <c r="CO41" s="7">
        <f t="shared" si="72"/>
      </c>
      <c r="CQ41" s="7">
        <f t="shared" si="73"/>
      </c>
      <c r="CR41" s="7">
        <f t="shared" si="74"/>
      </c>
      <c r="CS41" s="7">
        <f t="shared" si="75"/>
      </c>
      <c r="CT41" s="7">
        <f t="shared" si="76"/>
      </c>
      <c r="CU41" s="7">
        <f t="shared" si="77"/>
      </c>
      <c r="CV41" s="7">
        <f t="shared" si="78"/>
      </c>
      <c r="CW41" s="7">
        <f t="shared" si="79"/>
      </c>
      <c r="CX41" s="7">
        <f t="shared" si="80"/>
      </c>
      <c r="CY41" s="7">
        <f t="shared" si="81"/>
      </c>
      <c r="CZ41" s="7">
        <f t="shared" si="82"/>
      </c>
      <c r="DB41" s="7">
        <f t="shared" si="83"/>
      </c>
      <c r="DC41" s="7">
        <f t="shared" si="84"/>
      </c>
      <c r="DD41" s="7">
        <f t="shared" si="85"/>
      </c>
      <c r="DE41" s="7">
        <f t="shared" si="86"/>
      </c>
      <c r="DF41" s="7">
        <f t="shared" si="87"/>
      </c>
      <c r="DG41" s="7">
        <f t="shared" si="88"/>
      </c>
      <c r="DH41" s="7">
        <f t="shared" si="89"/>
      </c>
      <c r="DI41" s="7">
        <f t="shared" si="90"/>
      </c>
      <c r="DJ41" s="7">
        <f t="shared" si="91"/>
      </c>
      <c r="DK41" s="7">
        <f t="shared" si="92"/>
      </c>
    </row>
    <row r="42" spans="28:115" ht="11.25">
      <c r="AB42" s="12"/>
      <c r="AC42" s="7">
        <f t="shared" si="13"/>
      </c>
      <c r="AD42" s="7">
        <f t="shared" si="14"/>
      </c>
      <c r="AE42" s="7">
        <f t="shared" si="15"/>
      </c>
      <c r="AF42" s="7">
        <f t="shared" si="16"/>
      </c>
      <c r="AG42" s="7">
        <f t="shared" si="17"/>
      </c>
      <c r="AH42" s="7">
        <f t="shared" si="18"/>
      </c>
      <c r="AI42" s="7">
        <f t="shared" si="19"/>
      </c>
      <c r="AJ42" s="7">
        <f t="shared" si="20"/>
      </c>
      <c r="AK42" s="7">
        <f t="shared" si="21"/>
      </c>
      <c r="AL42" s="7">
        <f t="shared" si="22"/>
      </c>
      <c r="AN42" s="7">
        <f t="shared" si="23"/>
      </c>
      <c r="AO42" s="7">
        <f t="shared" si="24"/>
      </c>
      <c r="AP42" s="7">
        <f t="shared" si="25"/>
      </c>
      <c r="AQ42" s="7">
        <f t="shared" si="26"/>
      </c>
      <c r="AR42" s="7">
        <f t="shared" si="27"/>
      </c>
      <c r="AS42" s="7">
        <f t="shared" si="28"/>
      </c>
      <c r="AT42" s="7">
        <f t="shared" si="29"/>
      </c>
      <c r="AU42" s="7">
        <f t="shared" si="30"/>
      </c>
      <c r="AV42" s="7">
        <f t="shared" si="31"/>
      </c>
      <c r="AW42" s="7">
        <f t="shared" si="32"/>
      </c>
      <c r="AY42" s="7">
        <f t="shared" si="33"/>
      </c>
      <c r="AZ42" s="7">
        <f t="shared" si="34"/>
      </c>
      <c r="BA42" s="7">
        <f t="shared" si="35"/>
      </c>
      <c r="BB42" s="7">
        <f t="shared" si="36"/>
      </c>
      <c r="BC42" s="7">
        <f t="shared" si="37"/>
      </c>
      <c r="BD42" s="7">
        <f t="shared" si="38"/>
      </c>
      <c r="BE42" s="7">
        <f t="shared" si="39"/>
      </c>
      <c r="BF42" s="7">
        <f t="shared" si="40"/>
      </c>
      <c r="BG42" s="7">
        <f t="shared" si="41"/>
      </c>
      <c r="BH42" s="7">
        <f t="shared" si="42"/>
      </c>
      <c r="BJ42" s="7">
        <f t="shared" si="43"/>
      </c>
      <c r="BK42" s="7">
        <f t="shared" si="44"/>
      </c>
      <c r="BL42" s="7">
        <f t="shared" si="45"/>
      </c>
      <c r="BM42" s="7">
        <f t="shared" si="46"/>
      </c>
      <c r="BN42" s="7">
        <f t="shared" si="47"/>
      </c>
      <c r="BO42" s="7">
        <f t="shared" si="48"/>
      </c>
      <c r="BP42" s="7">
        <f t="shared" si="49"/>
      </c>
      <c r="BQ42" s="7">
        <f t="shared" si="50"/>
      </c>
      <c r="BR42" s="7">
        <f t="shared" si="51"/>
      </c>
      <c r="BS42" s="7">
        <f t="shared" si="52"/>
      </c>
      <c r="BU42" s="7">
        <f t="shared" si="53"/>
      </c>
      <c r="BV42" s="7">
        <f t="shared" si="54"/>
      </c>
      <c r="BW42" s="7">
        <f t="shared" si="55"/>
      </c>
      <c r="BX42" s="7">
        <f t="shared" si="56"/>
      </c>
      <c r="BY42" s="7">
        <f t="shared" si="57"/>
      </c>
      <c r="BZ42" s="7">
        <f t="shared" si="58"/>
      </c>
      <c r="CA42" s="7">
        <f t="shared" si="59"/>
      </c>
      <c r="CB42" s="7">
        <f t="shared" si="60"/>
      </c>
      <c r="CC42" s="7">
        <f t="shared" si="61"/>
      </c>
      <c r="CD42" s="7">
        <f t="shared" si="62"/>
      </c>
      <c r="CF42" s="7">
        <f t="shared" si="63"/>
      </c>
      <c r="CG42" s="7">
        <f t="shared" si="64"/>
      </c>
      <c r="CH42" s="7">
        <f t="shared" si="65"/>
      </c>
      <c r="CI42" s="7">
        <f t="shared" si="66"/>
      </c>
      <c r="CJ42" s="7">
        <f t="shared" si="67"/>
      </c>
      <c r="CK42" s="7">
        <f t="shared" si="68"/>
      </c>
      <c r="CL42" s="7">
        <f t="shared" si="69"/>
      </c>
      <c r="CM42" s="7">
        <f t="shared" si="70"/>
      </c>
      <c r="CN42" s="7">
        <f t="shared" si="71"/>
      </c>
      <c r="CO42" s="7">
        <f t="shared" si="72"/>
      </c>
      <c r="CQ42" s="7">
        <f t="shared" si="73"/>
      </c>
      <c r="CR42" s="7">
        <f t="shared" si="74"/>
      </c>
      <c r="CS42" s="7">
        <f t="shared" si="75"/>
      </c>
      <c r="CT42" s="7">
        <f t="shared" si="76"/>
      </c>
      <c r="CU42" s="7">
        <f t="shared" si="77"/>
      </c>
      <c r="CV42" s="7">
        <f t="shared" si="78"/>
      </c>
      <c r="CW42" s="7">
        <f t="shared" si="79"/>
      </c>
      <c r="CX42" s="7">
        <f t="shared" si="80"/>
      </c>
      <c r="CY42" s="7">
        <f t="shared" si="81"/>
      </c>
      <c r="CZ42" s="7">
        <f t="shared" si="82"/>
      </c>
      <c r="DB42" s="7">
        <f t="shared" si="83"/>
      </c>
      <c r="DC42" s="7">
        <f t="shared" si="84"/>
      </c>
      <c r="DD42" s="7">
        <f t="shared" si="85"/>
      </c>
      <c r="DE42" s="7">
        <f t="shared" si="86"/>
      </c>
      <c r="DF42" s="7">
        <f t="shared" si="87"/>
      </c>
      <c r="DG42" s="7">
        <f t="shared" si="88"/>
      </c>
      <c r="DH42" s="7">
        <f t="shared" si="89"/>
      </c>
      <c r="DI42" s="7">
        <f t="shared" si="90"/>
      </c>
      <c r="DJ42" s="7">
        <f t="shared" si="91"/>
      </c>
      <c r="DK42" s="7">
        <f t="shared" si="92"/>
      </c>
    </row>
    <row r="43" spans="28:115" ht="11.25">
      <c r="AB43" s="12"/>
      <c r="AC43" s="7">
        <f t="shared" si="13"/>
      </c>
      <c r="AD43" s="7">
        <f t="shared" si="14"/>
      </c>
      <c r="AE43" s="7">
        <f t="shared" si="15"/>
      </c>
      <c r="AF43" s="7">
        <f t="shared" si="16"/>
      </c>
      <c r="AG43" s="7">
        <f t="shared" si="17"/>
      </c>
      <c r="AH43" s="7">
        <f t="shared" si="18"/>
      </c>
      <c r="AI43" s="7">
        <f t="shared" si="19"/>
      </c>
      <c r="AJ43" s="7">
        <f t="shared" si="20"/>
      </c>
      <c r="AK43" s="7">
        <f t="shared" si="21"/>
      </c>
      <c r="AL43" s="7">
        <f t="shared" si="22"/>
      </c>
      <c r="AN43" s="7">
        <f t="shared" si="23"/>
      </c>
      <c r="AO43" s="7">
        <f t="shared" si="24"/>
      </c>
      <c r="AP43" s="7">
        <f t="shared" si="25"/>
      </c>
      <c r="AQ43" s="7">
        <f t="shared" si="26"/>
      </c>
      <c r="AR43" s="7">
        <f t="shared" si="27"/>
      </c>
      <c r="AS43" s="7">
        <f t="shared" si="28"/>
      </c>
      <c r="AT43" s="7">
        <f t="shared" si="29"/>
      </c>
      <c r="AU43" s="7">
        <f t="shared" si="30"/>
      </c>
      <c r="AV43" s="7">
        <f t="shared" si="31"/>
      </c>
      <c r="AW43" s="7">
        <f t="shared" si="32"/>
      </c>
      <c r="AY43" s="7">
        <f t="shared" si="33"/>
      </c>
      <c r="AZ43" s="7">
        <f t="shared" si="34"/>
      </c>
      <c r="BA43" s="7">
        <f t="shared" si="35"/>
      </c>
      <c r="BB43" s="7">
        <f t="shared" si="36"/>
      </c>
      <c r="BC43" s="7">
        <f t="shared" si="37"/>
      </c>
      <c r="BD43" s="7">
        <f t="shared" si="38"/>
      </c>
      <c r="BE43" s="7">
        <f t="shared" si="39"/>
      </c>
      <c r="BF43" s="7">
        <f t="shared" si="40"/>
      </c>
      <c r="BG43" s="7">
        <f t="shared" si="41"/>
      </c>
      <c r="BH43" s="7">
        <f t="shared" si="42"/>
      </c>
      <c r="BJ43" s="7">
        <f t="shared" si="43"/>
      </c>
      <c r="BK43" s="7">
        <f t="shared" si="44"/>
      </c>
      <c r="BL43" s="7">
        <f t="shared" si="45"/>
      </c>
      <c r="BM43" s="7">
        <f t="shared" si="46"/>
      </c>
      <c r="BN43" s="7">
        <f t="shared" si="47"/>
      </c>
      <c r="BO43" s="7">
        <f t="shared" si="48"/>
      </c>
      <c r="BP43" s="7">
        <f t="shared" si="49"/>
      </c>
      <c r="BQ43" s="7">
        <f t="shared" si="50"/>
      </c>
      <c r="BR43" s="7">
        <f t="shared" si="51"/>
      </c>
      <c r="BS43" s="7">
        <f t="shared" si="52"/>
      </c>
      <c r="BU43" s="7">
        <f t="shared" si="53"/>
      </c>
      <c r="BV43" s="7">
        <f t="shared" si="54"/>
      </c>
      <c r="BW43" s="7">
        <f t="shared" si="55"/>
      </c>
      <c r="BX43" s="7">
        <f t="shared" si="56"/>
      </c>
      <c r="BY43" s="7">
        <f t="shared" si="57"/>
      </c>
      <c r="BZ43" s="7">
        <f t="shared" si="58"/>
      </c>
      <c r="CA43" s="7">
        <f t="shared" si="59"/>
      </c>
      <c r="CB43" s="7">
        <f t="shared" si="60"/>
      </c>
      <c r="CC43" s="7">
        <f t="shared" si="61"/>
      </c>
      <c r="CD43" s="7">
        <f t="shared" si="62"/>
      </c>
      <c r="CF43" s="7">
        <f t="shared" si="63"/>
      </c>
      <c r="CG43" s="7">
        <f t="shared" si="64"/>
      </c>
      <c r="CH43" s="7">
        <f t="shared" si="65"/>
      </c>
      <c r="CI43" s="7">
        <f t="shared" si="66"/>
      </c>
      <c r="CJ43" s="7">
        <f t="shared" si="67"/>
      </c>
      <c r="CK43" s="7">
        <f t="shared" si="68"/>
      </c>
      <c r="CL43" s="7">
        <f t="shared" si="69"/>
      </c>
      <c r="CM43" s="7">
        <f t="shared" si="70"/>
      </c>
      <c r="CN43" s="7">
        <f t="shared" si="71"/>
      </c>
      <c r="CO43" s="7">
        <f t="shared" si="72"/>
      </c>
      <c r="CQ43" s="7">
        <f t="shared" si="73"/>
      </c>
      <c r="CR43" s="7">
        <f t="shared" si="74"/>
      </c>
      <c r="CS43" s="7">
        <f t="shared" si="75"/>
      </c>
      <c r="CT43" s="7">
        <f t="shared" si="76"/>
      </c>
      <c r="CU43" s="7">
        <f t="shared" si="77"/>
      </c>
      <c r="CV43" s="7">
        <f t="shared" si="78"/>
      </c>
      <c r="CW43" s="7">
        <f t="shared" si="79"/>
      </c>
      <c r="CX43" s="7">
        <f t="shared" si="80"/>
      </c>
      <c r="CY43" s="7">
        <f t="shared" si="81"/>
      </c>
      <c r="CZ43" s="7">
        <f t="shared" si="82"/>
      </c>
      <c r="DB43" s="7">
        <f t="shared" si="83"/>
      </c>
      <c r="DC43" s="7">
        <f t="shared" si="84"/>
      </c>
      <c r="DD43" s="7">
        <f t="shared" si="85"/>
      </c>
      <c r="DE43" s="7">
        <f t="shared" si="86"/>
      </c>
      <c r="DF43" s="7">
        <f t="shared" si="87"/>
      </c>
      <c r="DG43" s="7">
        <f t="shared" si="88"/>
      </c>
      <c r="DH43" s="7">
        <f t="shared" si="89"/>
      </c>
      <c r="DI43" s="7">
        <f t="shared" si="90"/>
      </c>
      <c r="DJ43" s="7">
        <f t="shared" si="91"/>
      </c>
      <c r="DK43" s="7">
        <f t="shared" si="92"/>
      </c>
    </row>
    <row r="44" spans="28:115" ht="11.25">
      <c r="AB44" s="12"/>
      <c r="AC44" s="7">
        <f t="shared" si="13"/>
      </c>
      <c r="AD44" s="7">
        <f t="shared" si="14"/>
      </c>
      <c r="AE44" s="7">
        <f t="shared" si="15"/>
      </c>
      <c r="AF44" s="7">
        <f t="shared" si="16"/>
      </c>
      <c r="AG44" s="7">
        <f t="shared" si="17"/>
      </c>
      <c r="AH44" s="7">
        <f t="shared" si="18"/>
      </c>
      <c r="AI44" s="7">
        <f t="shared" si="19"/>
      </c>
      <c r="AJ44" s="7">
        <f t="shared" si="20"/>
      </c>
      <c r="AK44" s="7">
        <f t="shared" si="21"/>
      </c>
      <c r="AL44" s="7">
        <f t="shared" si="22"/>
      </c>
      <c r="AN44" s="7">
        <f t="shared" si="23"/>
      </c>
      <c r="AO44" s="7">
        <f t="shared" si="24"/>
      </c>
      <c r="AP44" s="7">
        <f t="shared" si="25"/>
      </c>
      <c r="AQ44" s="7">
        <f t="shared" si="26"/>
      </c>
      <c r="AR44" s="7">
        <f t="shared" si="27"/>
      </c>
      <c r="AS44" s="7">
        <f t="shared" si="28"/>
      </c>
      <c r="AT44" s="7">
        <f t="shared" si="29"/>
      </c>
      <c r="AU44" s="7">
        <f t="shared" si="30"/>
      </c>
      <c r="AV44" s="7">
        <f t="shared" si="31"/>
      </c>
      <c r="AW44" s="7">
        <f t="shared" si="32"/>
      </c>
      <c r="AY44" s="7">
        <f t="shared" si="33"/>
      </c>
      <c r="AZ44" s="7">
        <f t="shared" si="34"/>
      </c>
      <c r="BA44" s="7">
        <f t="shared" si="35"/>
      </c>
      <c r="BB44" s="7">
        <f t="shared" si="36"/>
      </c>
      <c r="BC44" s="7">
        <f t="shared" si="37"/>
      </c>
      <c r="BD44" s="7">
        <f t="shared" si="38"/>
      </c>
      <c r="BE44" s="7">
        <f t="shared" si="39"/>
      </c>
      <c r="BF44" s="7">
        <f t="shared" si="40"/>
      </c>
      <c r="BG44" s="7">
        <f t="shared" si="41"/>
      </c>
      <c r="BH44" s="7">
        <f t="shared" si="42"/>
      </c>
      <c r="BJ44" s="7">
        <f t="shared" si="43"/>
      </c>
      <c r="BK44" s="7">
        <f t="shared" si="44"/>
      </c>
      <c r="BL44" s="7">
        <f t="shared" si="45"/>
      </c>
      <c r="BM44" s="7">
        <f t="shared" si="46"/>
      </c>
      <c r="BN44" s="7">
        <f t="shared" si="47"/>
      </c>
      <c r="BO44" s="7">
        <f t="shared" si="48"/>
      </c>
      <c r="BP44" s="7">
        <f t="shared" si="49"/>
      </c>
      <c r="BQ44" s="7">
        <f t="shared" si="50"/>
      </c>
      <c r="BR44" s="7">
        <f t="shared" si="51"/>
      </c>
      <c r="BS44" s="7">
        <f t="shared" si="52"/>
      </c>
      <c r="BU44" s="7">
        <f t="shared" si="53"/>
      </c>
      <c r="BV44" s="7">
        <f t="shared" si="54"/>
      </c>
      <c r="BW44" s="7">
        <f t="shared" si="55"/>
      </c>
      <c r="BX44" s="7">
        <f t="shared" si="56"/>
      </c>
      <c r="BY44" s="7">
        <f t="shared" si="57"/>
      </c>
      <c r="BZ44" s="7">
        <f t="shared" si="58"/>
      </c>
      <c r="CA44" s="7">
        <f t="shared" si="59"/>
      </c>
      <c r="CB44" s="7">
        <f t="shared" si="60"/>
      </c>
      <c r="CC44" s="7">
        <f t="shared" si="61"/>
      </c>
      <c r="CD44" s="7">
        <f t="shared" si="62"/>
      </c>
      <c r="CF44" s="7">
        <f t="shared" si="63"/>
      </c>
      <c r="CG44" s="7">
        <f t="shared" si="64"/>
      </c>
      <c r="CH44" s="7">
        <f t="shared" si="65"/>
      </c>
      <c r="CI44" s="7">
        <f t="shared" si="66"/>
      </c>
      <c r="CJ44" s="7">
        <f t="shared" si="67"/>
      </c>
      <c r="CK44" s="7">
        <f t="shared" si="68"/>
      </c>
      <c r="CL44" s="7">
        <f t="shared" si="69"/>
      </c>
      <c r="CM44" s="7">
        <f t="shared" si="70"/>
      </c>
      <c r="CN44" s="7">
        <f t="shared" si="71"/>
      </c>
      <c r="CO44" s="7">
        <f t="shared" si="72"/>
      </c>
      <c r="CQ44" s="7">
        <f t="shared" si="73"/>
      </c>
      <c r="CR44" s="7">
        <f t="shared" si="74"/>
      </c>
      <c r="CS44" s="7">
        <f t="shared" si="75"/>
      </c>
      <c r="CT44" s="7">
        <f t="shared" si="76"/>
      </c>
      <c r="CU44" s="7">
        <f t="shared" si="77"/>
      </c>
      <c r="CV44" s="7">
        <f t="shared" si="78"/>
      </c>
      <c r="CW44" s="7">
        <f t="shared" si="79"/>
      </c>
      <c r="CX44" s="7">
        <f t="shared" si="80"/>
      </c>
      <c r="CY44" s="7">
        <f t="shared" si="81"/>
      </c>
      <c r="CZ44" s="7">
        <f t="shared" si="82"/>
      </c>
      <c r="DB44" s="7">
        <f t="shared" si="83"/>
      </c>
      <c r="DC44" s="7">
        <f t="shared" si="84"/>
      </c>
      <c r="DD44" s="7">
        <f t="shared" si="85"/>
      </c>
      <c r="DE44" s="7">
        <f t="shared" si="86"/>
      </c>
      <c r="DF44" s="7">
        <f t="shared" si="87"/>
      </c>
      <c r="DG44" s="7">
        <f t="shared" si="88"/>
      </c>
      <c r="DH44" s="7">
        <f t="shared" si="89"/>
      </c>
      <c r="DI44" s="7">
        <f t="shared" si="90"/>
      </c>
      <c r="DJ44" s="7">
        <f t="shared" si="91"/>
      </c>
      <c r="DK44" s="7">
        <f t="shared" si="92"/>
      </c>
    </row>
    <row r="45" spans="28:115" ht="11.25">
      <c r="AB45" s="12"/>
      <c r="AC45" s="7">
        <f t="shared" si="13"/>
      </c>
      <c r="AD45" s="7">
        <f t="shared" si="14"/>
      </c>
      <c r="AE45" s="7">
        <f t="shared" si="15"/>
      </c>
      <c r="AF45" s="7">
        <f t="shared" si="16"/>
      </c>
      <c r="AG45" s="7">
        <f t="shared" si="17"/>
      </c>
      <c r="AH45" s="7">
        <f t="shared" si="18"/>
      </c>
      <c r="AI45" s="7">
        <f t="shared" si="19"/>
      </c>
      <c r="AJ45" s="7">
        <f t="shared" si="20"/>
      </c>
      <c r="AK45" s="7">
        <f t="shared" si="21"/>
      </c>
      <c r="AL45" s="7">
        <f t="shared" si="22"/>
      </c>
      <c r="AN45" s="7">
        <f t="shared" si="23"/>
      </c>
      <c r="AO45" s="7">
        <f t="shared" si="24"/>
      </c>
      <c r="AP45" s="7">
        <f t="shared" si="25"/>
      </c>
      <c r="AQ45" s="7">
        <f t="shared" si="26"/>
      </c>
      <c r="AR45" s="7">
        <f t="shared" si="27"/>
      </c>
      <c r="AS45" s="7">
        <f t="shared" si="28"/>
      </c>
      <c r="AT45" s="7">
        <f t="shared" si="29"/>
      </c>
      <c r="AU45" s="7">
        <f t="shared" si="30"/>
      </c>
      <c r="AV45" s="7">
        <f t="shared" si="31"/>
      </c>
      <c r="AW45" s="7">
        <f t="shared" si="32"/>
      </c>
      <c r="AY45" s="7">
        <f t="shared" si="33"/>
      </c>
      <c r="AZ45" s="7">
        <f t="shared" si="34"/>
      </c>
      <c r="BA45" s="7">
        <f t="shared" si="35"/>
      </c>
      <c r="BB45" s="7">
        <f t="shared" si="36"/>
      </c>
      <c r="BC45" s="7">
        <f t="shared" si="37"/>
      </c>
      <c r="BD45" s="7">
        <f t="shared" si="38"/>
      </c>
      <c r="BE45" s="7">
        <f t="shared" si="39"/>
      </c>
      <c r="BF45" s="7">
        <f t="shared" si="40"/>
      </c>
      <c r="BG45" s="7">
        <f t="shared" si="41"/>
      </c>
      <c r="BH45" s="7">
        <f t="shared" si="42"/>
      </c>
      <c r="BJ45" s="7">
        <f t="shared" si="43"/>
      </c>
      <c r="BK45" s="7">
        <f t="shared" si="44"/>
      </c>
      <c r="BL45" s="7">
        <f t="shared" si="45"/>
      </c>
      <c r="BM45" s="7">
        <f t="shared" si="46"/>
      </c>
      <c r="BN45" s="7">
        <f t="shared" si="47"/>
      </c>
      <c r="BO45" s="7">
        <f t="shared" si="48"/>
      </c>
      <c r="BP45" s="7">
        <f t="shared" si="49"/>
      </c>
      <c r="BQ45" s="7">
        <f t="shared" si="50"/>
      </c>
      <c r="BR45" s="7">
        <f t="shared" si="51"/>
      </c>
      <c r="BS45" s="7">
        <f t="shared" si="52"/>
      </c>
      <c r="BU45" s="7">
        <f t="shared" si="53"/>
      </c>
      <c r="BV45" s="7">
        <f t="shared" si="54"/>
      </c>
      <c r="BW45" s="7">
        <f t="shared" si="55"/>
      </c>
      <c r="BX45" s="7">
        <f t="shared" si="56"/>
      </c>
      <c r="BY45" s="7">
        <f t="shared" si="57"/>
      </c>
      <c r="BZ45" s="7">
        <f t="shared" si="58"/>
      </c>
      <c r="CA45" s="7">
        <f t="shared" si="59"/>
      </c>
      <c r="CB45" s="7">
        <f t="shared" si="60"/>
      </c>
      <c r="CC45" s="7">
        <f t="shared" si="61"/>
      </c>
      <c r="CD45" s="7">
        <f t="shared" si="62"/>
      </c>
      <c r="CF45" s="7">
        <f t="shared" si="63"/>
      </c>
      <c r="CG45" s="7">
        <f t="shared" si="64"/>
      </c>
      <c r="CH45" s="7">
        <f t="shared" si="65"/>
      </c>
      <c r="CI45" s="7">
        <f t="shared" si="66"/>
      </c>
      <c r="CJ45" s="7">
        <f t="shared" si="67"/>
      </c>
      <c r="CK45" s="7">
        <f t="shared" si="68"/>
      </c>
      <c r="CL45" s="7">
        <f t="shared" si="69"/>
      </c>
      <c r="CM45" s="7">
        <f t="shared" si="70"/>
      </c>
      <c r="CN45" s="7">
        <f t="shared" si="71"/>
      </c>
      <c r="CO45" s="7">
        <f t="shared" si="72"/>
      </c>
      <c r="CQ45" s="7">
        <f t="shared" si="73"/>
      </c>
      <c r="CR45" s="7">
        <f t="shared" si="74"/>
      </c>
      <c r="CS45" s="7">
        <f t="shared" si="75"/>
      </c>
      <c r="CT45" s="7">
        <f t="shared" si="76"/>
      </c>
      <c r="CU45" s="7">
        <f t="shared" si="77"/>
      </c>
      <c r="CV45" s="7">
        <f t="shared" si="78"/>
      </c>
      <c r="CW45" s="7">
        <f t="shared" si="79"/>
      </c>
      <c r="CX45" s="7">
        <f t="shared" si="80"/>
      </c>
      <c r="CY45" s="7">
        <f t="shared" si="81"/>
      </c>
      <c r="CZ45" s="7">
        <f t="shared" si="82"/>
      </c>
      <c r="DB45" s="7">
        <f t="shared" si="83"/>
      </c>
      <c r="DC45" s="7">
        <f t="shared" si="84"/>
      </c>
      <c r="DD45" s="7">
        <f t="shared" si="85"/>
      </c>
      <c r="DE45" s="7">
        <f t="shared" si="86"/>
      </c>
      <c r="DF45" s="7">
        <f t="shared" si="87"/>
      </c>
      <c r="DG45" s="7">
        <f t="shared" si="88"/>
      </c>
      <c r="DH45" s="7">
        <f t="shared" si="89"/>
      </c>
      <c r="DI45" s="7">
        <f t="shared" si="90"/>
      </c>
      <c r="DJ45" s="7">
        <f t="shared" si="91"/>
      </c>
      <c r="DK45" s="7">
        <f t="shared" si="92"/>
      </c>
    </row>
    <row r="46" spans="28:115" ht="11.25">
      <c r="AB46" s="12"/>
      <c r="AC46" s="7">
        <f t="shared" si="13"/>
      </c>
      <c r="AD46" s="7">
        <f t="shared" si="14"/>
      </c>
      <c r="AE46" s="7">
        <f t="shared" si="15"/>
      </c>
      <c r="AF46" s="7">
        <f t="shared" si="16"/>
      </c>
      <c r="AG46" s="7">
        <f t="shared" si="17"/>
      </c>
      <c r="AH46" s="7">
        <f t="shared" si="18"/>
      </c>
      <c r="AI46" s="7">
        <f t="shared" si="19"/>
      </c>
      <c r="AJ46" s="7">
        <f t="shared" si="20"/>
      </c>
      <c r="AK46" s="7">
        <f t="shared" si="21"/>
      </c>
      <c r="AL46" s="7">
        <f t="shared" si="22"/>
      </c>
      <c r="AN46" s="7">
        <f t="shared" si="23"/>
      </c>
      <c r="AO46" s="7">
        <f t="shared" si="24"/>
      </c>
      <c r="AP46" s="7">
        <f t="shared" si="25"/>
      </c>
      <c r="AQ46" s="7">
        <f t="shared" si="26"/>
      </c>
      <c r="AR46" s="7">
        <f t="shared" si="27"/>
      </c>
      <c r="AS46" s="7">
        <f t="shared" si="28"/>
      </c>
      <c r="AT46" s="7">
        <f t="shared" si="29"/>
      </c>
      <c r="AU46" s="7">
        <f t="shared" si="30"/>
      </c>
      <c r="AV46" s="7">
        <f t="shared" si="31"/>
      </c>
      <c r="AW46" s="7">
        <f t="shared" si="32"/>
      </c>
      <c r="AY46" s="7">
        <f t="shared" si="33"/>
      </c>
      <c r="AZ46" s="7">
        <f t="shared" si="34"/>
      </c>
      <c r="BA46" s="7">
        <f t="shared" si="35"/>
      </c>
      <c r="BB46" s="7">
        <f t="shared" si="36"/>
      </c>
      <c r="BC46" s="7">
        <f t="shared" si="37"/>
      </c>
      <c r="BD46" s="7">
        <f t="shared" si="38"/>
      </c>
      <c r="BE46" s="7">
        <f t="shared" si="39"/>
      </c>
      <c r="BF46" s="7">
        <f t="shared" si="40"/>
      </c>
      <c r="BG46" s="7">
        <f t="shared" si="41"/>
      </c>
      <c r="BH46" s="7">
        <f t="shared" si="42"/>
      </c>
      <c r="BJ46" s="7">
        <f t="shared" si="43"/>
      </c>
      <c r="BK46" s="7">
        <f t="shared" si="44"/>
      </c>
      <c r="BL46" s="7">
        <f t="shared" si="45"/>
      </c>
      <c r="BM46" s="7">
        <f t="shared" si="46"/>
      </c>
      <c r="BN46" s="7">
        <f t="shared" si="47"/>
      </c>
      <c r="BO46" s="7">
        <f t="shared" si="48"/>
      </c>
      <c r="BP46" s="7">
        <f t="shared" si="49"/>
      </c>
      <c r="BQ46" s="7">
        <f t="shared" si="50"/>
      </c>
      <c r="BR46" s="7">
        <f t="shared" si="51"/>
      </c>
      <c r="BS46" s="7">
        <f t="shared" si="52"/>
      </c>
      <c r="BU46" s="7">
        <f t="shared" si="53"/>
      </c>
      <c r="BV46" s="7">
        <f t="shared" si="54"/>
      </c>
      <c r="BW46" s="7">
        <f t="shared" si="55"/>
      </c>
      <c r="BX46" s="7">
        <f t="shared" si="56"/>
      </c>
      <c r="BY46" s="7">
        <f t="shared" si="57"/>
      </c>
      <c r="BZ46" s="7">
        <f t="shared" si="58"/>
      </c>
      <c r="CA46" s="7">
        <f t="shared" si="59"/>
      </c>
      <c r="CB46" s="7">
        <f t="shared" si="60"/>
      </c>
      <c r="CC46" s="7">
        <f t="shared" si="61"/>
      </c>
      <c r="CD46" s="7">
        <f t="shared" si="62"/>
      </c>
      <c r="CF46" s="7">
        <f t="shared" si="63"/>
      </c>
      <c r="CG46" s="7">
        <f t="shared" si="64"/>
      </c>
      <c r="CH46" s="7">
        <f t="shared" si="65"/>
      </c>
      <c r="CI46" s="7">
        <f t="shared" si="66"/>
      </c>
      <c r="CJ46" s="7">
        <f t="shared" si="67"/>
      </c>
      <c r="CK46" s="7">
        <f t="shared" si="68"/>
      </c>
      <c r="CL46" s="7">
        <f t="shared" si="69"/>
      </c>
      <c r="CM46" s="7">
        <f t="shared" si="70"/>
      </c>
      <c r="CN46" s="7">
        <f t="shared" si="71"/>
      </c>
      <c r="CO46" s="7">
        <f t="shared" si="72"/>
      </c>
      <c r="CQ46" s="7">
        <f t="shared" si="73"/>
      </c>
      <c r="CR46" s="7">
        <f t="shared" si="74"/>
      </c>
      <c r="CS46" s="7">
        <f t="shared" si="75"/>
      </c>
      <c r="CT46" s="7">
        <f t="shared" si="76"/>
      </c>
      <c r="CU46" s="7">
        <f t="shared" si="77"/>
      </c>
      <c r="CV46" s="7">
        <f t="shared" si="78"/>
      </c>
      <c r="CW46" s="7">
        <f t="shared" si="79"/>
      </c>
      <c r="CX46" s="7">
        <f t="shared" si="80"/>
      </c>
      <c r="CY46" s="7">
        <f t="shared" si="81"/>
      </c>
      <c r="CZ46" s="7">
        <f t="shared" si="82"/>
      </c>
      <c r="DB46" s="7">
        <f t="shared" si="83"/>
      </c>
      <c r="DC46" s="7">
        <f t="shared" si="84"/>
      </c>
      <c r="DD46" s="7">
        <f t="shared" si="85"/>
      </c>
      <c r="DE46" s="7">
        <f t="shared" si="86"/>
      </c>
      <c r="DF46" s="7">
        <f t="shared" si="87"/>
      </c>
      <c r="DG46" s="7">
        <f t="shared" si="88"/>
      </c>
      <c r="DH46" s="7">
        <f t="shared" si="89"/>
      </c>
      <c r="DI46" s="7">
        <f t="shared" si="90"/>
      </c>
      <c r="DJ46" s="7">
        <f t="shared" si="91"/>
      </c>
      <c r="DK46" s="7">
        <f t="shared" si="92"/>
      </c>
    </row>
    <row r="47" spans="28:115" ht="11.25">
      <c r="AB47" s="12"/>
      <c r="AC47" s="7">
        <f t="shared" si="13"/>
      </c>
      <c r="AD47" s="7">
        <f t="shared" si="14"/>
      </c>
      <c r="AE47" s="7">
        <f t="shared" si="15"/>
      </c>
      <c r="AF47" s="7">
        <f t="shared" si="16"/>
      </c>
      <c r="AG47" s="7">
        <f t="shared" si="17"/>
      </c>
      <c r="AH47" s="7">
        <f t="shared" si="18"/>
      </c>
      <c r="AI47" s="7">
        <f t="shared" si="19"/>
      </c>
      <c r="AJ47" s="7">
        <f t="shared" si="20"/>
      </c>
      <c r="AK47" s="7">
        <f t="shared" si="21"/>
      </c>
      <c r="AL47" s="7">
        <f t="shared" si="22"/>
      </c>
      <c r="AN47" s="7">
        <f t="shared" si="23"/>
      </c>
      <c r="AO47" s="7">
        <f t="shared" si="24"/>
      </c>
      <c r="AP47" s="7">
        <f t="shared" si="25"/>
      </c>
      <c r="AQ47" s="7">
        <f t="shared" si="26"/>
      </c>
      <c r="AR47" s="7">
        <f t="shared" si="27"/>
      </c>
      <c r="AS47" s="7">
        <f t="shared" si="28"/>
      </c>
      <c r="AT47" s="7">
        <f t="shared" si="29"/>
      </c>
      <c r="AU47" s="7">
        <f t="shared" si="30"/>
      </c>
      <c r="AV47" s="7">
        <f t="shared" si="31"/>
      </c>
      <c r="AW47" s="7">
        <f t="shared" si="32"/>
      </c>
      <c r="AY47" s="7">
        <f t="shared" si="33"/>
      </c>
      <c r="AZ47" s="7">
        <f t="shared" si="34"/>
      </c>
      <c r="BA47" s="7">
        <f t="shared" si="35"/>
      </c>
      <c r="BB47" s="7">
        <f t="shared" si="36"/>
      </c>
      <c r="BC47" s="7">
        <f t="shared" si="37"/>
      </c>
      <c r="BD47" s="7">
        <f t="shared" si="38"/>
      </c>
      <c r="BE47" s="7">
        <f t="shared" si="39"/>
      </c>
      <c r="BF47" s="7">
        <f t="shared" si="40"/>
      </c>
      <c r="BG47" s="7">
        <f t="shared" si="41"/>
      </c>
      <c r="BH47" s="7">
        <f t="shared" si="42"/>
      </c>
      <c r="BJ47" s="7">
        <f t="shared" si="43"/>
      </c>
      <c r="BK47" s="7">
        <f t="shared" si="44"/>
      </c>
      <c r="BL47" s="7">
        <f t="shared" si="45"/>
      </c>
      <c r="BM47" s="7">
        <f t="shared" si="46"/>
      </c>
      <c r="BN47" s="7">
        <f t="shared" si="47"/>
      </c>
      <c r="BO47" s="7">
        <f t="shared" si="48"/>
      </c>
      <c r="BP47" s="7">
        <f t="shared" si="49"/>
      </c>
      <c r="BQ47" s="7">
        <f t="shared" si="50"/>
      </c>
      <c r="BR47" s="7">
        <f t="shared" si="51"/>
      </c>
      <c r="BS47" s="7">
        <f t="shared" si="52"/>
      </c>
      <c r="BU47" s="7">
        <f t="shared" si="53"/>
      </c>
      <c r="BV47" s="7">
        <f t="shared" si="54"/>
      </c>
      <c r="BW47" s="7">
        <f t="shared" si="55"/>
      </c>
      <c r="BX47" s="7">
        <f t="shared" si="56"/>
      </c>
      <c r="BY47" s="7">
        <f t="shared" si="57"/>
      </c>
      <c r="BZ47" s="7">
        <f t="shared" si="58"/>
      </c>
      <c r="CA47" s="7">
        <f t="shared" si="59"/>
      </c>
      <c r="CB47" s="7">
        <f t="shared" si="60"/>
      </c>
      <c r="CC47" s="7">
        <f t="shared" si="61"/>
      </c>
      <c r="CD47" s="7">
        <f t="shared" si="62"/>
      </c>
      <c r="CF47" s="7">
        <f t="shared" si="63"/>
      </c>
      <c r="CG47" s="7">
        <f t="shared" si="64"/>
      </c>
      <c r="CH47" s="7">
        <f t="shared" si="65"/>
      </c>
      <c r="CI47" s="7">
        <f t="shared" si="66"/>
      </c>
      <c r="CJ47" s="7">
        <f t="shared" si="67"/>
      </c>
      <c r="CK47" s="7">
        <f t="shared" si="68"/>
      </c>
      <c r="CL47" s="7">
        <f t="shared" si="69"/>
      </c>
      <c r="CM47" s="7">
        <f t="shared" si="70"/>
      </c>
      <c r="CN47" s="7">
        <f t="shared" si="71"/>
      </c>
      <c r="CO47" s="7">
        <f t="shared" si="72"/>
      </c>
      <c r="CQ47" s="7">
        <f t="shared" si="73"/>
      </c>
      <c r="CR47" s="7">
        <f t="shared" si="74"/>
      </c>
      <c r="CS47" s="7">
        <f t="shared" si="75"/>
      </c>
      <c r="CT47" s="7">
        <f t="shared" si="76"/>
      </c>
      <c r="CU47" s="7">
        <f t="shared" si="77"/>
      </c>
      <c r="CV47" s="7">
        <f t="shared" si="78"/>
      </c>
      <c r="CW47" s="7">
        <f t="shared" si="79"/>
      </c>
      <c r="CX47" s="7">
        <f t="shared" si="80"/>
      </c>
      <c r="CY47" s="7">
        <f t="shared" si="81"/>
      </c>
      <c r="CZ47" s="7">
        <f t="shared" si="82"/>
      </c>
      <c r="DB47" s="7">
        <f t="shared" si="83"/>
      </c>
      <c r="DC47" s="7">
        <f t="shared" si="84"/>
      </c>
      <c r="DD47" s="7">
        <f t="shared" si="85"/>
      </c>
      <c r="DE47" s="7">
        <f t="shared" si="86"/>
      </c>
      <c r="DF47" s="7">
        <f t="shared" si="87"/>
      </c>
      <c r="DG47" s="7">
        <f t="shared" si="88"/>
      </c>
      <c r="DH47" s="7">
        <f t="shared" si="89"/>
      </c>
      <c r="DI47" s="7">
        <f t="shared" si="90"/>
      </c>
      <c r="DJ47" s="7">
        <f t="shared" si="91"/>
      </c>
      <c r="DK47" s="7">
        <f t="shared" si="92"/>
      </c>
    </row>
    <row r="48" spans="28:115" ht="11.25">
      <c r="AB48" s="12"/>
      <c r="AC48" s="7">
        <f t="shared" si="13"/>
      </c>
      <c r="AD48" s="7">
        <f t="shared" si="14"/>
      </c>
      <c r="AE48" s="7">
        <f t="shared" si="15"/>
      </c>
      <c r="AF48" s="7">
        <f t="shared" si="16"/>
      </c>
      <c r="AG48" s="7">
        <f t="shared" si="17"/>
      </c>
      <c r="AH48" s="7">
        <f t="shared" si="18"/>
      </c>
      <c r="AI48" s="7">
        <f t="shared" si="19"/>
      </c>
      <c r="AJ48" s="7">
        <f t="shared" si="20"/>
      </c>
      <c r="AK48" s="7">
        <f t="shared" si="21"/>
      </c>
      <c r="AL48" s="7">
        <f t="shared" si="22"/>
      </c>
      <c r="AN48" s="7">
        <f t="shared" si="23"/>
      </c>
      <c r="AO48" s="7">
        <f t="shared" si="24"/>
      </c>
      <c r="AP48" s="7">
        <f t="shared" si="25"/>
      </c>
      <c r="AQ48" s="7">
        <f t="shared" si="26"/>
      </c>
      <c r="AR48" s="7">
        <f t="shared" si="27"/>
      </c>
      <c r="AS48" s="7">
        <f t="shared" si="28"/>
      </c>
      <c r="AT48" s="7">
        <f t="shared" si="29"/>
      </c>
      <c r="AU48" s="7">
        <f t="shared" si="30"/>
      </c>
      <c r="AV48" s="7">
        <f t="shared" si="31"/>
      </c>
      <c r="AW48" s="7">
        <f t="shared" si="32"/>
      </c>
      <c r="AY48" s="7">
        <f t="shared" si="33"/>
      </c>
      <c r="AZ48" s="7">
        <f t="shared" si="34"/>
      </c>
      <c r="BA48" s="7">
        <f t="shared" si="35"/>
      </c>
      <c r="BB48" s="7">
        <f t="shared" si="36"/>
      </c>
      <c r="BC48" s="7">
        <f t="shared" si="37"/>
      </c>
      <c r="BD48" s="7">
        <f t="shared" si="38"/>
      </c>
      <c r="BE48" s="7">
        <f t="shared" si="39"/>
      </c>
      <c r="BF48" s="7">
        <f t="shared" si="40"/>
      </c>
      <c r="BG48" s="7">
        <f t="shared" si="41"/>
      </c>
      <c r="BH48" s="7">
        <f t="shared" si="42"/>
      </c>
      <c r="BJ48" s="7">
        <f t="shared" si="43"/>
      </c>
      <c r="BK48" s="7">
        <f t="shared" si="44"/>
      </c>
      <c r="BL48" s="7">
        <f t="shared" si="45"/>
      </c>
      <c r="BM48" s="7">
        <f t="shared" si="46"/>
      </c>
      <c r="BN48" s="7">
        <f t="shared" si="47"/>
      </c>
      <c r="BO48" s="7">
        <f t="shared" si="48"/>
      </c>
      <c r="BP48" s="7">
        <f t="shared" si="49"/>
      </c>
      <c r="BQ48" s="7">
        <f t="shared" si="50"/>
      </c>
      <c r="BR48" s="7">
        <f t="shared" si="51"/>
      </c>
      <c r="BS48" s="7">
        <f t="shared" si="52"/>
      </c>
      <c r="BU48" s="7">
        <f t="shared" si="53"/>
      </c>
      <c r="BV48" s="7">
        <f t="shared" si="54"/>
      </c>
      <c r="BW48" s="7">
        <f t="shared" si="55"/>
      </c>
      <c r="BX48" s="7">
        <f t="shared" si="56"/>
      </c>
      <c r="BY48" s="7">
        <f t="shared" si="57"/>
      </c>
      <c r="BZ48" s="7">
        <f t="shared" si="58"/>
      </c>
      <c r="CA48" s="7">
        <f t="shared" si="59"/>
      </c>
      <c r="CB48" s="7">
        <f t="shared" si="60"/>
      </c>
      <c r="CC48" s="7">
        <f t="shared" si="61"/>
      </c>
      <c r="CD48" s="7">
        <f t="shared" si="62"/>
      </c>
      <c r="CF48" s="7">
        <f t="shared" si="63"/>
      </c>
      <c r="CG48" s="7">
        <f t="shared" si="64"/>
      </c>
      <c r="CH48" s="7">
        <f t="shared" si="65"/>
      </c>
      <c r="CI48" s="7">
        <f t="shared" si="66"/>
      </c>
      <c r="CJ48" s="7">
        <f t="shared" si="67"/>
      </c>
      <c r="CK48" s="7">
        <f t="shared" si="68"/>
      </c>
      <c r="CL48" s="7">
        <f t="shared" si="69"/>
      </c>
      <c r="CM48" s="7">
        <f t="shared" si="70"/>
      </c>
      <c r="CN48" s="7">
        <f t="shared" si="71"/>
      </c>
      <c r="CO48" s="7">
        <f t="shared" si="72"/>
      </c>
      <c r="CQ48" s="7">
        <f t="shared" si="73"/>
      </c>
      <c r="CR48" s="7">
        <f t="shared" si="74"/>
      </c>
      <c r="CS48" s="7">
        <f t="shared" si="75"/>
      </c>
      <c r="CT48" s="7">
        <f t="shared" si="76"/>
      </c>
      <c r="CU48" s="7">
        <f t="shared" si="77"/>
      </c>
      <c r="CV48" s="7">
        <f t="shared" si="78"/>
      </c>
      <c r="CW48" s="7">
        <f t="shared" si="79"/>
      </c>
      <c r="CX48" s="7">
        <f t="shared" si="80"/>
      </c>
      <c r="CY48" s="7">
        <f t="shared" si="81"/>
      </c>
      <c r="CZ48" s="7">
        <f t="shared" si="82"/>
      </c>
      <c r="DB48" s="7">
        <f t="shared" si="83"/>
      </c>
      <c r="DC48" s="7">
        <f t="shared" si="84"/>
      </c>
      <c r="DD48" s="7">
        <f t="shared" si="85"/>
      </c>
      <c r="DE48" s="7">
        <f t="shared" si="86"/>
      </c>
      <c r="DF48" s="7">
        <f t="shared" si="87"/>
      </c>
      <c r="DG48" s="7">
        <f t="shared" si="88"/>
      </c>
      <c r="DH48" s="7">
        <f t="shared" si="89"/>
      </c>
      <c r="DI48" s="7">
        <f t="shared" si="90"/>
      </c>
      <c r="DJ48" s="7">
        <f t="shared" si="91"/>
      </c>
      <c r="DK48" s="7">
        <f t="shared" si="92"/>
      </c>
    </row>
    <row r="49" spans="28:115" ht="11.25">
      <c r="AB49" s="12"/>
      <c r="AC49" s="7">
        <f aca="true" t="shared" si="103" ref="AC49:AC65">IF(RHV="","",SUM(AD49:AL49))</f>
      </c>
      <c r="AD49" s="7">
        <f aca="true" t="shared" si="104" ref="AD49:AD65">IF(RHV="","",EXP($D$38-Bval*e1b))</f>
      </c>
      <c r="AE49" s="7">
        <f aca="true" t="shared" si="105" ref="AE49:AE65">IF(OR(RHV="",AE$14&gt;NmE),"",EXP($E$38-Bval*e2b))</f>
      </c>
      <c r="AF49" s="7">
        <f aca="true" t="shared" si="106" ref="AF49:AF65">IF(OR(RHV="",AF$14&gt;NmE),"",EXP($F$38-Bval*e3b))</f>
      </c>
      <c r="AG49" s="7">
        <f aca="true" t="shared" si="107" ref="AG49:AG65">IF(OR(RHV="",AG$14&gt;NmE),"",EXP($G$38-Bval*e4b))</f>
      </c>
      <c r="AH49" s="7">
        <f aca="true" t="shared" si="108" ref="AH49:AH65">IF(OR(RHV="",AH$14&gt;NmE),"",EXP($H$38-Bval*e5b))</f>
      </c>
      <c r="AI49" s="7">
        <f aca="true" t="shared" si="109" ref="AI49:AI65">IF(OR(RHV="",AI$14&gt;NmE),"",EXP($I$38-Bval*e6b))</f>
      </c>
      <c r="AJ49" s="7">
        <f aca="true" t="shared" si="110" ref="AJ49:AJ65">IF(OR(RHV="",AJ$14&gt;NmE),"",EXP($J$38-Bval*e7b))</f>
      </c>
      <c r="AK49" s="7">
        <f aca="true" t="shared" si="111" ref="AK49:AK65">IF(OR(RHV="",AK$14&gt;NmE),"",EXP($K$38-Bval*e8b))</f>
      </c>
      <c r="AL49" s="7">
        <f aca="true" t="shared" si="112" ref="AL49:AL65">IF(OR(RHV="",AL$14&gt;NmE),"",EXP($L$38-Bval*e9b))</f>
      </c>
      <c r="AN49" s="7">
        <f aca="true" t="shared" si="113" ref="AN49:AN65">IF(RHV="","",SUM(AO49:AW49))</f>
      </c>
      <c r="AO49" s="7">
        <f aca="true" t="shared" si="114" ref="AO49:AO65">IF(RHV="","",EXP($D$38-(Bval-1)*e1b))</f>
      </c>
      <c r="AP49" s="7">
        <f aca="true" t="shared" si="115" ref="AP49:AP65">IF(OR(RHV="",AP$14&gt;NmE),"",EXP($E$38-(Bval-1)*e2b))</f>
      </c>
      <c r="AQ49" s="7">
        <f aca="true" t="shared" si="116" ref="AQ49:AQ65">IF(OR(RHV="",AQ$14&gt;NmE),"",EXP($F$38-(Bval-1)*e3b))</f>
      </c>
      <c r="AR49" s="7">
        <f aca="true" t="shared" si="117" ref="AR49:AR65">IF(OR(RHV="",AR$14&gt;NmE),"",EXP($G$38-(Bval-1)*e4b))</f>
      </c>
      <c r="AS49" s="7">
        <f aca="true" t="shared" si="118" ref="AS49:AS65">IF(OR(RHV="",AS$14&gt;NmE),"",EXP($H$38-(Bval-1)*e5b))</f>
      </c>
      <c r="AT49" s="7">
        <f aca="true" t="shared" si="119" ref="AT49:AT65">IF(OR(RHV="",AT$14&gt;NmE),"",EXP($I$38-(Bval-1)*e6b))</f>
      </c>
      <c r="AU49" s="7">
        <f aca="true" t="shared" si="120" ref="AU49:AU65">IF(OR(RHV="",AU$14&gt;NmE),"",EXP($J$38-(Bval-1)*e7b))</f>
      </c>
      <c r="AV49" s="7">
        <f aca="true" t="shared" si="121" ref="AV49:AV65">IF(OR(RHV="",AV$14&gt;NmE),"",EXP($K$38-(Bval-1)*e8b))</f>
      </c>
      <c r="AW49" s="7">
        <f aca="true" t="shared" si="122" ref="AW49:AW65">IF(OR(RHV="",AW$14&gt;NmE),"",EXP($L$38-(Bval-1)*e9b))</f>
      </c>
      <c r="AY49" s="7">
        <f aca="true" t="shared" si="123" ref="AY49:AY65">IF(RHV="","",SUM(AZ49:BH49))</f>
      </c>
      <c r="AZ49" s="7">
        <f aca="true" t="shared" si="124" ref="AZ49:AZ65">IF(RHV="","",EXP($D$38-(Bval-min)*e1b))</f>
      </c>
      <c r="BA49" s="7">
        <f aca="true" t="shared" si="125" ref="BA49:BA65">IF(OR(RHV="",BA$14&gt;NmE),"",EXP($E$38-(Bval-min)*e2b))</f>
      </c>
      <c r="BB49" s="7">
        <f aca="true" t="shared" si="126" ref="BB49:BB65">IF(OR(RHV="",BB$14&gt;NmE),"",EXP($F$38-(Bval-min)*e3b))</f>
      </c>
      <c r="BC49" s="7">
        <f aca="true" t="shared" si="127" ref="BC49:BC65">IF(OR(RHV="",BC$14&gt;NmE),"",EXP($G$38-(Bval-min)*e4b))</f>
      </c>
      <c r="BD49" s="7">
        <f aca="true" t="shared" si="128" ref="BD49:BD65">IF(OR(RHV="",BD$14&gt;NmE),"",EXP($H$38-(Bval-min)*e5b))</f>
      </c>
      <c r="BE49" s="7">
        <f aca="true" t="shared" si="129" ref="BE49:BE65">IF(OR(RHV="",BE$14&gt;NmE),"",EXP($I$38-(Bval-min)*e6b))</f>
      </c>
      <c r="BF49" s="7">
        <f aca="true" t="shared" si="130" ref="BF49:BF65">IF(OR(RHV="",BF$14&gt;NmE),"",EXP($J$38-(Bval-min)*e7b))</f>
      </c>
      <c r="BG49" s="7">
        <f aca="true" t="shared" si="131" ref="BG49:BG65">IF(OR(RHV="",BG$14&gt;NmE),"",EXP($K$38-(Bval-min)*e8b))</f>
      </c>
      <c r="BH49" s="7">
        <f aca="true" t="shared" si="132" ref="BH49:BH65">IF(OR(RHV="",BH$14&gt;NmE),"",EXP($L$38-(Bval-min)*e9b))</f>
      </c>
      <c r="BJ49" s="7">
        <f aca="true" t="shared" si="133" ref="BJ49:BJ65">IF(RHV="","",SUM(BK49:BS49))</f>
      </c>
      <c r="BK49" s="7">
        <f aca="true" t="shared" si="134" ref="BK49:BK65">IF(RHV="","",EXP($D$38-(Bval-max)*e1b))</f>
      </c>
      <c r="BL49" s="7">
        <f aca="true" t="shared" si="135" ref="BL49:BL65">IF(OR(RHV="",BL$14&gt;NmE),"",EXP($E$38-(Bval-max)*e2b))</f>
      </c>
      <c r="BM49" s="7">
        <f aca="true" t="shared" si="136" ref="BM49:BM65">IF(OR(RHV="",BM$14&gt;NmE),"",EXP($F$38-(Bval-max)*e3b))</f>
      </c>
      <c r="BN49" s="7">
        <f aca="true" t="shared" si="137" ref="BN49:BN65">IF(OR(RHV="",BN$14&gt;NmE),"",EXP($G$38-(Bval-max)*e4b))</f>
      </c>
      <c r="BO49" s="7">
        <f aca="true" t="shared" si="138" ref="BO49:BO65">IF(OR(RHV="",BO$14&gt;NmE),"",EXP($H$38-(Bval-max)*e5b))</f>
      </c>
      <c r="BP49" s="7">
        <f aca="true" t="shared" si="139" ref="BP49:BP65">IF(OR(RHV="",BP$14&gt;NmE),"",EXP($I$38-(Bval-max)*e6b))</f>
      </c>
      <c r="BQ49" s="7">
        <f aca="true" t="shared" si="140" ref="BQ49:BQ65">IF(OR(RHV="",BQ$14&gt;NmE),"",EXP($J$38-(Bval-max)*e7b))</f>
      </c>
      <c r="BR49" s="7">
        <f aca="true" t="shared" si="141" ref="BR49:BR65">IF(OR(RHV="",BR$14&gt;NmE),"",EXP($K$38-(Bval-max)*e8b))</f>
      </c>
      <c r="BS49" s="7">
        <f aca="true" t="shared" si="142" ref="BS49:BS65">IF(OR(RHV="",BS$14&gt;NmE),"",EXP($L$38-(Bval-max)*e9b))</f>
      </c>
      <c r="BU49" s="7">
        <f aca="true" t="shared" si="143" ref="BU49:BU65">IF(RHV="","",SUM(BV49:CD49))</f>
      </c>
      <c r="BV49" s="7">
        <f aca="true" t="shared" si="144" ref="BV49:BV65">IF(RHV="","",EXP($D$38-(Bval-mn+0.5)*e1b))</f>
      </c>
      <c r="BW49" s="7">
        <f aca="true" t="shared" si="145" ref="BW49:BW65">IF(OR(RHV="",BW$14&gt;NmE),"",EXP($E$38-(Bval-mn+0.5)*e2b))</f>
      </c>
      <c r="BX49" s="7">
        <f aca="true" t="shared" si="146" ref="BX49:BX65">IF(OR(RHV="",BX$14&gt;NmE),"",EXP($F$38-(Bval-mn+0.5)*e3b))</f>
      </c>
      <c r="BY49" s="7">
        <f aca="true" t="shared" si="147" ref="BY49:BY65">IF(OR(RHV="",BY$14&gt;NmE),"",EXP($G$38-(Bval-mn+0.5)*e4b))</f>
      </c>
      <c r="BZ49" s="7">
        <f aca="true" t="shared" si="148" ref="BZ49:BZ65">IF(OR(RHV="",BZ$14&gt;NmE),"",EXP($H$38-(Bval-mn+0.5)*e5b))</f>
      </c>
      <c r="CA49" s="7">
        <f aca="true" t="shared" si="149" ref="CA49:CA65">IF(OR(RHV="",CA$14&gt;NmE),"",EXP($I$38-(Bval-mn+0.5)*e6b))</f>
      </c>
      <c r="CB49" s="7">
        <f aca="true" t="shared" si="150" ref="CB49:CB65">IF(OR(RHV="",CB$14&gt;NmE),"",EXP($J$38-(Bval-mn+0.5)*e7b))</f>
      </c>
      <c r="CC49" s="7">
        <f aca="true" t="shared" si="151" ref="CC49:CC65">IF(OR(RHV="",CC$14&gt;NmE),"",EXP($K$38-(Bval-mn+0.5)*e8b))</f>
      </c>
      <c r="CD49" s="7">
        <f aca="true" t="shared" si="152" ref="CD49:CD65">IF(OR(RHV="",CD$14&gt;NmE),"",EXP($L$38-(Bval-mn+0.5)*e9b))</f>
      </c>
      <c r="CF49" s="7">
        <f aca="true" t="shared" si="153" ref="CF49:CF65">IF(RHV="","",SUM(CG49:CO49))</f>
      </c>
      <c r="CG49" s="7">
        <f aca="true" t="shared" si="154" ref="CG49:CG65">IF(RHV="","",EXP($D$38-(Bval-mn-0.5)*e1b))</f>
      </c>
      <c r="CH49" s="7">
        <f aca="true" t="shared" si="155" ref="CH49:CH65">IF(OR(RHV="",CH$14&gt;NmE),"",EXP($E$38-(Bval-mn-0.5)*e2b))</f>
      </c>
      <c r="CI49" s="7">
        <f aca="true" t="shared" si="156" ref="CI49:CI65">IF(OR(RHV="",CI$14&gt;NmE),"",EXP($F$38-(Bval-mn-0.5)*e3b))</f>
      </c>
      <c r="CJ49" s="7">
        <f aca="true" t="shared" si="157" ref="CJ49:CJ65">IF(OR(RHV="",CJ$14&gt;NmE),"",EXP($G$38-(Bval-mn-0.5)*e4b))</f>
      </c>
      <c r="CK49" s="7">
        <f aca="true" t="shared" si="158" ref="CK49:CK65">IF(OR(RHV="",CK$14&gt;NmE),"",EXP($H$38-(Bval-mn-0.5)*e5b))</f>
      </c>
      <c r="CL49" s="7">
        <f aca="true" t="shared" si="159" ref="CL49:CL65">IF(OR(RHV="",CL$14&gt;NmE),"",EXP($I$38-(Bval-mn-0.5)*e6b))</f>
      </c>
      <c r="CM49" s="7">
        <f aca="true" t="shared" si="160" ref="CM49:CM65">IF(OR(RHV="",CM$14&gt;NmE),"",EXP($J$38-(Bval-mn-0.5)*e7b))</f>
      </c>
      <c r="CN49" s="7">
        <f aca="true" t="shared" si="161" ref="CN49:CN65">IF(OR(RHV="",CN$14&gt;NmE),"",EXP($K$38-(Bval-mn-0.5)*e8b))</f>
      </c>
      <c r="CO49" s="7">
        <f aca="true" t="shared" si="162" ref="CO49:CO65">IF(OR(RHV="",CO$14&gt;NmE),"",EXP($L$38-(Bval-mn-0.5)*e9b))</f>
      </c>
      <c r="CQ49" s="7">
        <f aca="true" t="shared" si="163" ref="CQ49:CQ65">IF(RHV="","",SUM(CR49:CZ49))</f>
      </c>
      <c r="CR49" s="7">
        <f aca="true" t="shared" si="164" ref="CR49:CR65">IF(RHV="","",EXP($D$38-(Bval-mn+0.5*sd)*e1b))</f>
      </c>
      <c r="CS49" s="7">
        <f aca="true" t="shared" si="165" ref="CS49:CS65">IF(OR(RHV="",CS$14&gt;NmE),"",EXP($E$38-(Bval-mn+0.5*sd)*e2b))</f>
      </c>
      <c r="CT49" s="7">
        <f aca="true" t="shared" si="166" ref="CT49:CT65">IF(OR(RHV="",CT$14&gt;NmE),"",EXP($F$38-(Bval-mn+0.5*sd)*e3b))</f>
      </c>
      <c r="CU49" s="7">
        <f aca="true" t="shared" si="167" ref="CU49:CU65">IF(OR(RHV="",CU$14&gt;NmE),"",EXP($G$38-(Bval-mn+0.5*sd)*e4b))</f>
      </c>
      <c r="CV49" s="7">
        <f aca="true" t="shared" si="168" ref="CV49:CV65">IF(OR(RHV="",CV$14&gt;NmE),"",EXP($H$38-(Bval-mn+0.5*sd)*e5b))</f>
      </c>
      <c r="CW49" s="7">
        <f aca="true" t="shared" si="169" ref="CW49:CW65">IF(OR(RHV="",CW$14&gt;NmE),"",EXP($I$38-(Bval-mn+0.5*sd)*e6b))</f>
      </c>
      <c r="CX49" s="7">
        <f aca="true" t="shared" si="170" ref="CX49:CX65">IF(OR(RHV="",CX$14&gt;NmE),"",EXP($J$38-(Bval-mn+0.5*sd)*e7b))</f>
      </c>
      <c r="CY49" s="7">
        <f aca="true" t="shared" si="171" ref="CY49:CY65">IF(OR(RHV="",CY$14&gt;NmE),"",EXP($K$38-(Bval-mn+0.5*sd)*e8b))</f>
      </c>
      <c r="CZ49" s="7">
        <f aca="true" t="shared" si="172" ref="CZ49:CZ65">IF(OR(RHV="",CZ$14&gt;NmE),"",EXP($L$38-(Bval-mn+0.5*sd)*e9b))</f>
      </c>
      <c r="DB49" s="7">
        <f aca="true" t="shared" si="173" ref="DB49:DB65">IF(RHV="","",SUM(DC49:DK49))</f>
      </c>
      <c r="DC49" s="7">
        <f aca="true" t="shared" si="174" ref="DC49:DC65">IF(RHV="","",EXP($D$38-(Bval-mn-0.5*sd)*e1b))</f>
      </c>
      <c r="DD49" s="7">
        <f aca="true" t="shared" si="175" ref="DD49:DD65">IF(OR(RHV="",DD$14&gt;NmE),"",EXP($E$38-(Bval-mn-0.5*sd)*e2b))</f>
      </c>
      <c r="DE49" s="7">
        <f aca="true" t="shared" si="176" ref="DE49:DE65">IF(OR(RHV="",DE$14&gt;NmE),"",EXP($F$38-(Bval-mn-0.5*sd)*e3b))</f>
      </c>
      <c r="DF49" s="7">
        <f aca="true" t="shared" si="177" ref="DF49:DF65">IF(OR(RHV="",DF$14&gt;NmE),"",EXP($G$38-(Bval-mn-0.5*sd)*e4b))</f>
      </c>
      <c r="DG49" s="7">
        <f aca="true" t="shared" si="178" ref="DG49:DG65">IF(OR(RHV="",DG$14&gt;NmE),"",EXP($H$38-(Bval-mn-0.5*sd)*e5b))</f>
      </c>
      <c r="DH49" s="7">
        <f aca="true" t="shared" si="179" ref="DH49:DH65">IF(OR(RHV="",DH$14&gt;NmE),"",EXP($I$38-(Bval-mn-0.5*sd)*e6b))</f>
      </c>
      <c r="DI49" s="7">
        <f aca="true" t="shared" si="180" ref="DI49:DI65">IF(OR(RHV="",DI$14&gt;NmE),"",EXP($J$38-(Bval-mn-0.5*sd)*e7b))</f>
      </c>
      <c r="DJ49" s="7">
        <f aca="true" t="shared" si="181" ref="DJ49:DJ65">IF(OR(RHV="",DJ$14&gt;NmE),"",EXP($K$38-(Bval-mn-0.5*sd)*e8b))</f>
      </c>
      <c r="DK49" s="7">
        <f aca="true" t="shared" si="182" ref="DK49:DK65">IF(OR(RHV="",DK$14&gt;NmE),"",EXP($L$38-(Bval-mn-0.5*sd)*e9b))</f>
      </c>
    </row>
    <row r="50" spans="28:115" ht="11.25">
      <c r="AB50" s="12"/>
      <c r="AC50" s="7">
        <f t="shared" si="103"/>
      </c>
      <c r="AD50" s="7">
        <f t="shared" si="104"/>
      </c>
      <c r="AE50" s="7">
        <f t="shared" si="105"/>
      </c>
      <c r="AF50" s="7">
        <f t="shared" si="106"/>
      </c>
      <c r="AG50" s="7">
        <f t="shared" si="107"/>
      </c>
      <c r="AH50" s="7">
        <f t="shared" si="108"/>
      </c>
      <c r="AI50" s="7">
        <f t="shared" si="109"/>
      </c>
      <c r="AJ50" s="7">
        <f t="shared" si="110"/>
      </c>
      <c r="AK50" s="7">
        <f t="shared" si="111"/>
      </c>
      <c r="AL50" s="7">
        <f t="shared" si="112"/>
      </c>
      <c r="AN50" s="7">
        <f t="shared" si="113"/>
      </c>
      <c r="AO50" s="7">
        <f t="shared" si="114"/>
      </c>
      <c r="AP50" s="7">
        <f t="shared" si="115"/>
      </c>
      <c r="AQ50" s="7">
        <f t="shared" si="116"/>
      </c>
      <c r="AR50" s="7">
        <f t="shared" si="117"/>
      </c>
      <c r="AS50" s="7">
        <f t="shared" si="118"/>
      </c>
      <c r="AT50" s="7">
        <f t="shared" si="119"/>
      </c>
      <c r="AU50" s="7">
        <f t="shared" si="120"/>
      </c>
      <c r="AV50" s="7">
        <f t="shared" si="121"/>
      </c>
      <c r="AW50" s="7">
        <f t="shared" si="122"/>
      </c>
      <c r="AY50" s="7">
        <f t="shared" si="123"/>
      </c>
      <c r="AZ50" s="7">
        <f t="shared" si="124"/>
      </c>
      <c r="BA50" s="7">
        <f t="shared" si="125"/>
      </c>
      <c r="BB50" s="7">
        <f t="shared" si="126"/>
      </c>
      <c r="BC50" s="7">
        <f t="shared" si="127"/>
      </c>
      <c r="BD50" s="7">
        <f t="shared" si="128"/>
      </c>
      <c r="BE50" s="7">
        <f t="shared" si="129"/>
      </c>
      <c r="BF50" s="7">
        <f t="shared" si="130"/>
      </c>
      <c r="BG50" s="7">
        <f t="shared" si="131"/>
      </c>
      <c r="BH50" s="7">
        <f t="shared" si="132"/>
      </c>
      <c r="BJ50" s="7">
        <f t="shared" si="133"/>
      </c>
      <c r="BK50" s="7">
        <f t="shared" si="134"/>
      </c>
      <c r="BL50" s="7">
        <f t="shared" si="135"/>
      </c>
      <c r="BM50" s="7">
        <f t="shared" si="136"/>
      </c>
      <c r="BN50" s="7">
        <f t="shared" si="137"/>
      </c>
      <c r="BO50" s="7">
        <f t="shared" si="138"/>
      </c>
      <c r="BP50" s="7">
        <f t="shared" si="139"/>
      </c>
      <c r="BQ50" s="7">
        <f t="shared" si="140"/>
      </c>
      <c r="BR50" s="7">
        <f t="shared" si="141"/>
      </c>
      <c r="BS50" s="7">
        <f t="shared" si="142"/>
      </c>
      <c r="BU50" s="7">
        <f t="shared" si="143"/>
      </c>
      <c r="BV50" s="7">
        <f t="shared" si="144"/>
      </c>
      <c r="BW50" s="7">
        <f t="shared" si="145"/>
      </c>
      <c r="BX50" s="7">
        <f t="shared" si="146"/>
      </c>
      <c r="BY50" s="7">
        <f t="shared" si="147"/>
      </c>
      <c r="BZ50" s="7">
        <f t="shared" si="148"/>
      </c>
      <c r="CA50" s="7">
        <f t="shared" si="149"/>
      </c>
      <c r="CB50" s="7">
        <f t="shared" si="150"/>
      </c>
      <c r="CC50" s="7">
        <f t="shared" si="151"/>
      </c>
      <c r="CD50" s="7">
        <f t="shared" si="152"/>
      </c>
      <c r="CF50" s="7">
        <f t="shared" si="153"/>
      </c>
      <c r="CG50" s="7">
        <f t="shared" si="154"/>
      </c>
      <c r="CH50" s="7">
        <f t="shared" si="155"/>
      </c>
      <c r="CI50" s="7">
        <f t="shared" si="156"/>
      </c>
      <c r="CJ50" s="7">
        <f t="shared" si="157"/>
      </c>
      <c r="CK50" s="7">
        <f t="shared" si="158"/>
      </c>
      <c r="CL50" s="7">
        <f t="shared" si="159"/>
      </c>
      <c r="CM50" s="7">
        <f t="shared" si="160"/>
      </c>
      <c r="CN50" s="7">
        <f t="shared" si="161"/>
      </c>
      <c r="CO50" s="7">
        <f t="shared" si="162"/>
      </c>
      <c r="CQ50" s="7">
        <f t="shared" si="163"/>
      </c>
      <c r="CR50" s="7">
        <f t="shared" si="164"/>
      </c>
      <c r="CS50" s="7">
        <f t="shared" si="165"/>
      </c>
      <c r="CT50" s="7">
        <f t="shared" si="166"/>
      </c>
      <c r="CU50" s="7">
        <f t="shared" si="167"/>
      </c>
      <c r="CV50" s="7">
        <f t="shared" si="168"/>
      </c>
      <c r="CW50" s="7">
        <f t="shared" si="169"/>
      </c>
      <c r="CX50" s="7">
        <f t="shared" si="170"/>
      </c>
      <c r="CY50" s="7">
        <f t="shared" si="171"/>
      </c>
      <c r="CZ50" s="7">
        <f t="shared" si="172"/>
      </c>
      <c r="DB50" s="7">
        <f t="shared" si="173"/>
      </c>
      <c r="DC50" s="7">
        <f t="shared" si="174"/>
      </c>
      <c r="DD50" s="7">
        <f t="shared" si="175"/>
      </c>
      <c r="DE50" s="7">
        <f t="shared" si="176"/>
      </c>
      <c r="DF50" s="7">
        <f t="shared" si="177"/>
      </c>
      <c r="DG50" s="7">
        <f t="shared" si="178"/>
      </c>
      <c r="DH50" s="7">
        <f t="shared" si="179"/>
      </c>
      <c r="DI50" s="7">
        <f t="shared" si="180"/>
      </c>
      <c r="DJ50" s="7">
        <f t="shared" si="181"/>
      </c>
      <c r="DK50" s="7">
        <f t="shared" si="182"/>
      </c>
    </row>
    <row r="51" spans="28:115" ht="11.25">
      <c r="AB51" s="12"/>
      <c r="AC51" s="7">
        <f t="shared" si="103"/>
      </c>
      <c r="AD51" s="7">
        <f t="shared" si="104"/>
      </c>
      <c r="AE51" s="7">
        <f t="shared" si="105"/>
      </c>
      <c r="AF51" s="7">
        <f t="shared" si="106"/>
      </c>
      <c r="AG51" s="7">
        <f t="shared" si="107"/>
      </c>
      <c r="AH51" s="7">
        <f t="shared" si="108"/>
      </c>
      <c r="AI51" s="7">
        <f t="shared" si="109"/>
      </c>
      <c r="AJ51" s="7">
        <f t="shared" si="110"/>
      </c>
      <c r="AK51" s="7">
        <f t="shared" si="111"/>
      </c>
      <c r="AL51" s="7">
        <f t="shared" si="112"/>
      </c>
      <c r="AN51" s="7">
        <f t="shared" si="113"/>
      </c>
      <c r="AO51" s="7">
        <f t="shared" si="114"/>
      </c>
      <c r="AP51" s="7">
        <f t="shared" si="115"/>
      </c>
      <c r="AQ51" s="7">
        <f t="shared" si="116"/>
      </c>
      <c r="AR51" s="7">
        <f t="shared" si="117"/>
      </c>
      <c r="AS51" s="7">
        <f t="shared" si="118"/>
      </c>
      <c r="AT51" s="7">
        <f t="shared" si="119"/>
      </c>
      <c r="AU51" s="7">
        <f t="shared" si="120"/>
      </c>
      <c r="AV51" s="7">
        <f t="shared" si="121"/>
      </c>
      <c r="AW51" s="7">
        <f t="shared" si="122"/>
      </c>
      <c r="AY51" s="7">
        <f t="shared" si="123"/>
      </c>
      <c r="AZ51" s="7">
        <f t="shared" si="124"/>
      </c>
      <c r="BA51" s="7">
        <f t="shared" si="125"/>
      </c>
      <c r="BB51" s="7">
        <f t="shared" si="126"/>
      </c>
      <c r="BC51" s="7">
        <f t="shared" si="127"/>
      </c>
      <c r="BD51" s="7">
        <f t="shared" si="128"/>
      </c>
      <c r="BE51" s="7">
        <f t="shared" si="129"/>
      </c>
      <c r="BF51" s="7">
        <f t="shared" si="130"/>
      </c>
      <c r="BG51" s="7">
        <f t="shared" si="131"/>
      </c>
      <c r="BH51" s="7">
        <f t="shared" si="132"/>
      </c>
      <c r="BJ51" s="7">
        <f t="shared" si="133"/>
      </c>
      <c r="BK51" s="7">
        <f t="shared" si="134"/>
      </c>
      <c r="BL51" s="7">
        <f t="shared" si="135"/>
      </c>
      <c r="BM51" s="7">
        <f t="shared" si="136"/>
      </c>
      <c r="BN51" s="7">
        <f t="shared" si="137"/>
      </c>
      <c r="BO51" s="7">
        <f t="shared" si="138"/>
      </c>
      <c r="BP51" s="7">
        <f t="shared" si="139"/>
      </c>
      <c r="BQ51" s="7">
        <f t="shared" si="140"/>
      </c>
      <c r="BR51" s="7">
        <f t="shared" si="141"/>
      </c>
      <c r="BS51" s="7">
        <f t="shared" si="142"/>
      </c>
      <c r="BU51" s="7">
        <f t="shared" si="143"/>
      </c>
      <c r="BV51" s="7">
        <f t="shared" si="144"/>
      </c>
      <c r="BW51" s="7">
        <f t="shared" si="145"/>
      </c>
      <c r="BX51" s="7">
        <f t="shared" si="146"/>
      </c>
      <c r="BY51" s="7">
        <f t="shared" si="147"/>
      </c>
      <c r="BZ51" s="7">
        <f t="shared" si="148"/>
      </c>
      <c r="CA51" s="7">
        <f t="shared" si="149"/>
      </c>
      <c r="CB51" s="7">
        <f t="shared" si="150"/>
      </c>
      <c r="CC51" s="7">
        <f t="shared" si="151"/>
      </c>
      <c r="CD51" s="7">
        <f t="shared" si="152"/>
      </c>
      <c r="CF51" s="7">
        <f t="shared" si="153"/>
      </c>
      <c r="CG51" s="7">
        <f t="shared" si="154"/>
      </c>
      <c r="CH51" s="7">
        <f t="shared" si="155"/>
      </c>
      <c r="CI51" s="7">
        <f t="shared" si="156"/>
      </c>
      <c r="CJ51" s="7">
        <f t="shared" si="157"/>
      </c>
      <c r="CK51" s="7">
        <f t="shared" si="158"/>
      </c>
      <c r="CL51" s="7">
        <f t="shared" si="159"/>
      </c>
      <c r="CM51" s="7">
        <f t="shared" si="160"/>
      </c>
      <c r="CN51" s="7">
        <f t="shared" si="161"/>
      </c>
      <c r="CO51" s="7">
        <f t="shared" si="162"/>
      </c>
      <c r="CQ51" s="7">
        <f t="shared" si="163"/>
      </c>
      <c r="CR51" s="7">
        <f t="shared" si="164"/>
      </c>
      <c r="CS51" s="7">
        <f t="shared" si="165"/>
      </c>
      <c r="CT51" s="7">
        <f t="shared" si="166"/>
      </c>
      <c r="CU51" s="7">
        <f t="shared" si="167"/>
      </c>
      <c r="CV51" s="7">
        <f t="shared" si="168"/>
      </c>
      <c r="CW51" s="7">
        <f t="shared" si="169"/>
      </c>
      <c r="CX51" s="7">
        <f t="shared" si="170"/>
      </c>
      <c r="CY51" s="7">
        <f t="shared" si="171"/>
      </c>
      <c r="CZ51" s="7">
        <f t="shared" si="172"/>
      </c>
      <c r="DB51" s="7">
        <f t="shared" si="173"/>
      </c>
      <c r="DC51" s="7">
        <f t="shared" si="174"/>
      </c>
      <c r="DD51" s="7">
        <f t="shared" si="175"/>
      </c>
      <c r="DE51" s="7">
        <f t="shared" si="176"/>
      </c>
      <c r="DF51" s="7">
        <f t="shared" si="177"/>
      </c>
      <c r="DG51" s="7">
        <f t="shared" si="178"/>
      </c>
      <c r="DH51" s="7">
        <f t="shared" si="179"/>
      </c>
      <c r="DI51" s="7">
        <f t="shared" si="180"/>
      </c>
      <c r="DJ51" s="7">
        <f t="shared" si="181"/>
      </c>
      <c r="DK51" s="7">
        <f t="shared" si="182"/>
      </c>
    </row>
    <row r="52" spans="28:115" ht="11.25">
      <c r="AB52" s="12"/>
      <c r="AC52" s="7">
        <f t="shared" si="103"/>
      </c>
      <c r="AD52" s="7">
        <f t="shared" si="104"/>
      </c>
      <c r="AE52" s="7">
        <f t="shared" si="105"/>
      </c>
      <c r="AF52" s="7">
        <f t="shared" si="106"/>
      </c>
      <c r="AG52" s="7">
        <f t="shared" si="107"/>
      </c>
      <c r="AH52" s="7">
        <f t="shared" si="108"/>
      </c>
      <c r="AI52" s="7">
        <f t="shared" si="109"/>
      </c>
      <c r="AJ52" s="7">
        <f t="shared" si="110"/>
      </c>
      <c r="AK52" s="7">
        <f t="shared" si="111"/>
      </c>
      <c r="AL52" s="7">
        <f t="shared" si="112"/>
      </c>
      <c r="AN52" s="7">
        <f t="shared" si="113"/>
      </c>
      <c r="AO52" s="7">
        <f t="shared" si="114"/>
      </c>
      <c r="AP52" s="7">
        <f t="shared" si="115"/>
      </c>
      <c r="AQ52" s="7">
        <f t="shared" si="116"/>
      </c>
      <c r="AR52" s="7">
        <f t="shared" si="117"/>
      </c>
      <c r="AS52" s="7">
        <f t="shared" si="118"/>
      </c>
      <c r="AT52" s="7">
        <f t="shared" si="119"/>
      </c>
      <c r="AU52" s="7">
        <f t="shared" si="120"/>
      </c>
      <c r="AV52" s="7">
        <f t="shared" si="121"/>
      </c>
      <c r="AW52" s="7">
        <f t="shared" si="122"/>
      </c>
      <c r="AY52" s="7">
        <f t="shared" si="123"/>
      </c>
      <c r="AZ52" s="7">
        <f t="shared" si="124"/>
      </c>
      <c r="BA52" s="7">
        <f t="shared" si="125"/>
      </c>
      <c r="BB52" s="7">
        <f t="shared" si="126"/>
      </c>
      <c r="BC52" s="7">
        <f t="shared" si="127"/>
      </c>
      <c r="BD52" s="7">
        <f t="shared" si="128"/>
      </c>
      <c r="BE52" s="7">
        <f t="shared" si="129"/>
      </c>
      <c r="BF52" s="7">
        <f t="shared" si="130"/>
      </c>
      <c r="BG52" s="7">
        <f t="shared" si="131"/>
      </c>
      <c r="BH52" s="7">
        <f t="shared" si="132"/>
      </c>
      <c r="BJ52" s="7">
        <f t="shared" si="133"/>
      </c>
      <c r="BK52" s="7">
        <f t="shared" si="134"/>
      </c>
      <c r="BL52" s="7">
        <f t="shared" si="135"/>
      </c>
      <c r="BM52" s="7">
        <f t="shared" si="136"/>
      </c>
      <c r="BN52" s="7">
        <f t="shared" si="137"/>
      </c>
      <c r="BO52" s="7">
        <f t="shared" si="138"/>
      </c>
      <c r="BP52" s="7">
        <f t="shared" si="139"/>
      </c>
      <c r="BQ52" s="7">
        <f t="shared" si="140"/>
      </c>
      <c r="BR52" s="7">
        <f t="shared" si="141"/>
      </c>
      <c r="BS52" s="7">
        <f t="shared" si="142"/>
      </c>
      <c r="BU52" s="7">
        <f t="shared" si="143"/>
      </c>
      <c r="BV52" s="7">
        <f t="shared" si="144"/>
      </c>
      <c r="BW52" s="7">
        <f t="shared" si="145"/>
      </c>
      <c r="BX52" s="7">
        <f t="shared" si="146"/>
      </c>
      <c r="BY52" s="7">
        <f t="shared" si="147"/>
      </c>
      <c r="BZ52" s="7">
        <f t="shared" si="148"/>
      </c>
      <c r="CA52" s="7">
        <f t="shared" si="149"/>
      </c>
      <c r="CB52" s="7">
        <f t="shared" si="150"/>
      </c>
      <c r="CC52" s="7">
        <f t="shared" si="151"/>
      </c>
      <c r="CD52" s="7">
        <f t="shared" si="152"/>
      </c>
      <c r="CF52" s="7">
        <f t="shared" si="153"/>
      </c>
      <c r="CG52" s="7">
        <f t="shared" si="154"/>
      </c>
      <c r="CH52" s="7">
        <f t="shared" si="155"/>
      </c>
      <c r="CI52" s="7">
        <f t="shared" si="156"/>
      </c>
      <c r="CJ52" s="7">
        <f t="shared" si="157"/>
      </c>
      <c r="CK52" s="7">
        <f t="shared" si="158"/>
      </c>
      <c r="CL52" s="7">
        <f t="shared" si="159"/>
      </c>
      <c r="CM52" s="7">
        <f t="shared" si="160"/>
      </c>
      <c r="CN52" s="7">
        <f t="shared" si="161"/>
      </c>
      <c r="CO52" s="7">
        <f t="shared" si="162"/>
      </c>
      <c r="CQ52" s="7">
        <f t="shared" si="163"/>
      </c>
      <c r="CR52" s="7">
        <f t="shared" si="164"/>
      </c>
      <c r="CS52" s="7">
        <f t="shared" si="165"/>
      </c>
      <c r="CT52" s="7">
        <f t="shared" si="166"/>
      </c>
      <c r="CU52" s="7">
        <f t="shared" si="167"/>
      </c>
      <c r="CV52" s="7">
        <f t="shared" si="168"/>
      </c>
      <c r="CW52" s="7">
        <f t="shared" si="169"/>
      </c>
      <c r="CX52" s="7">
        <f t="shared" si="170"/>
      </c>
      <c r="CY52" s="7">
        <f t="shared" si="171"/>
      </c>
      <c r="CZ52" s="7">
        <f t="shared" si="172"/>
      </c>
      <c r="DB52" s="7">
        <f t="shared" si="173"/>
      </c>
      <c r="DC52" s="7">
        <f t="shared" si="174"/>
      </c>
      <c r="DD52" s="7">
        <f t="shared" si="175"/>
      </c>
      <c r="DE52" s="7">
        <f t="shared" si="176"/>
      </c>
      <c r="DF52" s="7">
        <f t="shared" si="177"/>
      </c>
      <c r="DG52" s="7">
        <f t="shared" si="178"/>
      </c>
      <c r="DH52" s="7">
        <f t="shared" si="179"/>
      </c>
      <c r="DI52" s="7">
        <f t="shared" si="180"/>
      </c>
      <c r="DJ52" s="7">
        <f t="shared" si="181"/>
      </c>
      <c r="DK52" s="7">
        <f t="shared" si="182"/>
      </c>
    </row>
    <row r="53" spans="28:115" ht="11.25">
      <c r="AB53" s="12"/>
      <c r="AC53" s="7">
        <f t="shared" si="103"/>
      </c>
      <c r="AD53" s="7">
        <f t="shared" si="104"/>
      </c>
      <c r="AE53" s="7">
        <f t="shared" si="105"/>
      </c>
      <c r="AF53" s="7">
        <f t="shared" si="106"/>
      </c>
      <c r="AG53" s="7">
        <f t="shared" si="107"/>
      </c>
      <c r="AH53" s="7">
        <f t="shared" si="108"/>
      </c>
      <c r="AI53" s="7">
        <f t="shared" si="109"/>
      </c>
      <c r="AJ53" s="7">
        <f t="shared" si="110"/>
      </c>
      <c r="AK53" s="7">
        <f t="shared" si="111"/>
      </c>
      <c r="AL53" s="7">
        <f t="shared" si="112"/>
      </c>
      <c r="AN53" s="7">
        <f t="shared" si="113"/>
      </c>
      <c r="AO53" s="7">
        <f t="shared" si="114"/>
      </c>
      <c r="AP53" s="7">
        <f t="shared" si="115"/>
      </c>
      <c r="AQ53" s="7">
        <f t="shared" si="116"/>
      </c>
      <c r="AR53" s="7">
        <f t="shared" si="117"/>
      </c>
      <c r="AS53" s="7">
        <f t="shared" si="118"/>
      </c>
      <c r="AT53" s="7">
        <f t="shared" si="119"/>
      </c>
      <c r="AU53" s="7">
        <f t="shared" si="120"/>
      </c>
      <c r="AV53" s="7">
        <f t="shared" si="121"/>
      </c>
      <c r="AW53" s="7">
        <f t="shared" si="122"/>
      </c>
      <c r="AY53" s="7">
        <f t="shared" si="123"/>
      </c>
      <c r="AZ53" s="7">
        <f t="shared" si="124"/>
      </c>
      <c r="BA53" s="7">
        <f t="shared" si="125"/>
      </c>
      <c r="BB53" s="7">
        <f t="shared" si="126"/>
      </c>
      <c r="BC53" s="7">
        <f t="shared" si="127"/>
      </c>
      <c r="BD53" s="7">
        <f t="shared" si="128"/>
      </c>
      <c r="BE53" s="7">
        <f t="shared" si="129"/>
      </c>
      <c r="BF53" s="7">
        <f t="shared" si="130"/>
      </c>
      <c r="BG53" s="7">
        <f t="shared" si="131"/>
      </c>
      <c r="BH53" s="7">
        <f t="shared" si="132"/>
      </c>
      <c r="BJ53" s="7">
        <f t="shared" si="133"/>
      </c>
      <c r="BK53" s="7">
        <f t="shared" si="134"/>
      </c>
      <c r="BL53" s="7">
        <f t="shared" si="135"/>
      </c>
      <c r="BM53" s="7">
        <f t="shared" si="136"/>
      </c>
      <c r="BN53" s="7">
        <f t="shared" si="137"/>
      </c>
      <c r="BO53" s="7">
        <f t="shared" si="138"/>
      </c>
      <c r="BP53" s="7">
        <f t="shared" si="139"/>
      </c>
      <c r="BQ53" s="7">
        <f t="shared" si="140"/>
      </c>
      <c r="BR53" s="7">
        <f t="shared" si="141"/>
      </c>
      <c r="BS53" s="7">
        <f t="shared" si="142"/>
      </c>
      <c r="BU53" s="7">
        <f t="shared" si="143"/>
      </c>
      <c r="BV53" s="7">
        <f t="shared" si="144"/>
      </c>
      <c r="BW53" s="7">
        <f t="shared" si="145"/>
      </c>
      <c r="BX53" s="7">
        <f t="shared" si="146"/>
      </c>
      <c r="BY53" s="7">
        <f t="shared" si="147"/>
      </c>
      <c r="BZ53" s="7">
        <f t="shared" si="148"/>
      </c>
      <c r="CA53" s="7">
        <f t="shared" si="149"/>
      </c>
      <c r="CB53" s="7">
        <f t="shared" si="150"/>
      </c>
      <c r="CC53" s="7">
        <f t="shared" si="151"/>
      </c>
      <c r="CD53" s="7">
        <f t="shared" si="152"/>
      </c>
      <c r="CF53" s="7">
        <f t="shared" si="153"/>
      </c>
      <c r="CG53" s="7">
        <f t="shared" si="154"/>
      </c>
      <c r="CH53" s="7">
        <f t="shared" si="155"/>
      </c>
      <c r="CI53" s="7">
        <f t="shared" si="156"/>
      </c>
      <c r="CJ53" s="7">
        <f t="shared" si="157"/>
      </c>
      <c r="CK53" s="7">
        <f t="shared" si="158"/>
      </c>
      <c r="CL53" s="7">
        <f t="shared" si="159"/>
      </c>
      <c r="CM53" s="7">
        <f t="shared" si="160"/>
      </c>
      <c r="CN53" s="7">
        <f t="shared" si="161"/>
      </c>
      <c r="CO53" s="7">
        <f t="shared" si="162"/>
      </c>
      <c r="CQ53" s="7">
        <f t="shared" si="163"/>
      </c>
      <c r="CR53" s="7">
        <f t="shared" si="164"/>
      </c>
      <c r="CS53" s="7">
        <f t="shared" si="165"/>
      </c>
      <c r="CT53" s="7">
        <f t="shared" si="166"/>
      </c>
      <c r="CU53" s="7">
        <f t="shared" si="167"/>
      </c>
      <c r="CV53" s="7">
        <f t="shared" si="168"/>
      </c>
      <c r="CW53" s="7">
        <f t="shared" si="169"/>
      </c>
      <c r="CX53" s="7">
        <f t="shared" si="170"/>
      </c>
      <c r="CY53" s="7">
        <f t="shared" si="171"/>
      </c>
      <c r="CZ53" s="7">
        <f t="shared" si="172"/>
      </c>
      <c r="DB53" s="7">
        <f t="shared" si="173"/>
      </c>
      <c r="DC53" s="7">
        <f t="shared" si="174"/>
      </c>
      <c r="DD53" s="7">
        <f t="shared" si="175"/>
      </c>
      <c r="DE53" s="7">
        <f t="shared" si="176"/>
      </c>
      <c r="DF53" s="7">
        <f t="shared" si="177"/>
      </c>
      <c r="DG53" s="7">
        <f t="shared" si="178"/>
      </c>
      <c r="DH53" s="7">
        <f t="shared" si="179"/>
      </c>
      <c r="DI53" s="7">
        <f t="shared" si="180"/>
      </c>
      <c r="DJ53" s="7">
        <f t="shared" si="181"/>
      </c>
      <c r="DK53" s="7">
        <f t="shared" si="182"/>
      </c>
    </row>
    <row r="54" spans="28:115" ht="11.25">
      <c r="AB54" s="12"/>
      <c r="AC54" s="7">
        <f t="shared" si="103"/>
      </c>
      <c r="AD54" s="7">
        <f t="shared" si="104"/>
      </c>
      <c r="AE54" s="7">
        <f t="shared" si="105"/>
      </c>
      <c r="AF54" s="7">
        <f t="shared" si="106"/>
      </c>
      <c r="AG54" s="7">
        <f t="shared" si="107"/>
      </c>
      <c r="AH54" s="7">
        <f t="shared" si="108"/>
      </c>
      <c r="AI54" s="7">
        <f t="shared" si="109"/>
      </c>
      <c r="AJ54" s="7">
        <f t="shared" si="110"/>
      </c>
      <c r="AK54" s="7">
        <f t="shared" si="111"/>
      </c>
      <c r="AL54" s="7">
        <f t="shared" si="112"/>
      </c>
      <c r="AN54" s="7">
        <f t="shared" si="113"/>
      </c>
      <c r="AO54" s="7">
        <f t="shared" si="114"/>
      </c>
      <c r="AP54" s="7">
        <f t="shared" si="115"/>
      </c>
      <c r="AQ54" s="7">
        <f t="shared" si="116"/>
      </c>
      <c r="AR54" s="7">
        <f t="shared" si="117"/>
      </c>
      <c r="AS54" s="7">
        <f t="shared" si="118"/>
      </c>
      <c r="AT54" s="7">
        <f t="shared" si="119"/>
      </c>
      <c r="AU54" s="7">
        <f t="shared" si="120"/>
      </c>
      <c r="AV54" s="7">
        <f t="shared" si="121"/>
      </c>
      <c r="AW54" s="7">
        <f t="shared" si="122"/>
      </c>
      <c r="AY54" s="7">
        <f t="shared" si="123"/>
      </c>
      <c r="AZ54" s="7">
        <f t="shared" si="124"/>
      </c>
      <c r="BA54" s="7">
        <f t="shared" si="125"/>
      </c>
      <c r="BB54" s="7">
        <f t="shared" si="126"/>
      </c>
      <c r="BC54" s="7">
        <f t="shared" si="127"/>
      </c>
      <c r="BD54" s="7">
        <f t="shared" si="128"/>
      </c>
      <c r="BE54" s="7">
        <f t="shared" si="129"/>
      </c>
      <c r="BF54" s="7">
        <f t="shared" si="130"/>
      </c>
      <c r="BG54" s="7">
        <f t="shared" si="131"/>
      </c>
      <c r="BH54" s="7">
        <f t="shared" si="132"/>
      </c>
      <c r="BJ54" s="7">
        <f t="shared" si="133"/>
      </c>
      <c r="BK54" s="7">
        <f t="shared" si="134"/>
      </c>
      <c r="BL54" s="7">
        <f t="shared" si="135"/>
      </c>
      <c r="BM54" s="7">
        <f t="shared" si="136"/>
      </c>
      <c r="BN54" s="7">
        <f t="shared" si="137"/>
      </c>
      <c r="BO54" s="7">
        <f t="shared" si="138"/>
      </c>
      <c r="BP54" s="7">
        <f t="shared" si="139"/>
      </c>
      <c r="BQ54" s="7">
        <f t="shared" si="140"/>
      </c>
      <c r="BR54" s="7">
        <f t="shared" si="141"/>
      </c>
      <c r="BS54" s="7">
        <f t="shared" si="142"/>
      </c>
      <c r="BU54" s="7">
        <f t="shared" si="143"/>
      </c>
      <c r="BV54" s="7">
        <f t="shared" si="144"/>
      </c>
      <c r="BW54" s="7">
        <f t="shared" si="145"/>
      </c>
      <c r="BX54" s="7">
        <f t="shared" si="146"/>
      </c>
      <c r="BY54" s="7">
        <f t="shared" si="147"/>
      </c>
      <c r="BZ54" s="7">
        <f t="shared" si="148"/>
      </c>
      <c r="CA54" s="7">
        <f t="shared" si="149"/>
      </c>
      <c r="CB54" s="7">
        <f t="shared" si="150"/>
      </c>
      <c r="CC54" s="7">
        <f t="shared" si="151"/>
      </c>
      <c r="CD54" s="7">
        <f t="shared" si="152"/>
      </c>
      <c r="CF54" s="7">
        <f t="shared" si="153"/>
      </c>
      <c r="CG54" s="7">
        <f t="shared" si="154"/>
      </c>
      <c r="CH54" s="7">
        <f t="shared" si="155"/>
      </c>
      <c r="CI54" s="7">
        <f t="shared" si="156"/>
      </c>
      <c r="CJ54" s="7">
        <f t="shared" si="157"/>
      </c>
      <c r="CK54" s="7">
        <f t="shared" si="158"/>
      </c>
      <c r="CL54" s="7">
        <f t="shared" si="159"/>
      </c>
      <c r="CM54" s="7">
        <f t="shared" si="160"/>
      </c>
      <c r="CN54" s="7">
        <f t="shared" si="161"/>
      </c>
      <c r="CO54" s="7">
        <f t="shared" si="162"/>
      </c>
      <c r="CQ54" s="7">
        <f t="shared" si="163"/>
      </c>
      <c r="CR54" s="7">
        <f t="shared" si="164"/>
      </c>
      <c r="CS54" s="7">
        <f t="shared" si="165"/>
      </c>
      <c r="CT54" s="7">
        <f t="shared" si="166"/>
      </c>
      <c r="CU54" s="7">
        <f t="shared" si="167"/>
      </c>
      <c r="CV54" s="7">
        <f t="shared" si="168"/>
      </c>
      <c r="CW54" s="7">
        <f t="shared" si="169"/>
      </c>
      <c r="CX54" s="7">
        <f t="shared" si="170"/>
      </c>
      <c r="CY54" s="7">
        <f t="shared" si="171"/>
      </c>
      <c r="CZ54" s="7">
        <f t="shared" si="172"/>
      </c>
      <c r="DB54" s="7">
        <f t="shared" si="173"/>
      </c>
      <c r="DC54" s="7">
        <f t="shared" si="174"/>
      </c>
      <c r="DD54" s="7">
        <f t="shared" si="175"/>
      </c>
      <c r="DE54" s="7">
        <f t="shared" si="176"/>
      </c>
      <c r="DF54" s="7">
        <f t="shared" si="177"/>
      </c>
      <c r="DG54" s="7">
        <f t="shared" si="178"/>
      </c>
      <c r="DH54" s="7">
        <f t="shared" si="179"/>
      </c>
      <c r="DI54" s="7">
        <f t="shared" si="180"/>
      </c>
      <c r="DJ54" s="7">
        <f t="shared" si="181"/>
      </c>
      <c r="DK54" s="7">
        <f t="shared" si="182"/>
      </c>
    </row>
    <row r="55" spans="28:115" ht="11.25">
      <c r="AB55" s="12"/>
      <c r="AC55" s="7">
        <f t="shared" si="103"/>
      </c>
      <c r="AD55" s="7">
        <f t="shared" si="104"/>
      </c>
      <c r="AE55" s="7">
        <f t="shared" si="105"/>
      </c>
      <c r="AF55" s="7">
        <f t="shared" si="106"/>
      </c>
      <c r="AG55" s="7">
        <f t="shared" si="107"/>
      </c>
      <c r="AH55" s="7">
        <f t="shared" si="108"/>
      </c>
      <c r="AI55" s="7">
        <f t="shared" si="109"/>
      </c>
      <c r="AJ55" s="7">
        <f t="shared" si="110"/>
      </c>
      <c r="AK55" s="7">
        <f t="shared" si="111"/>
      </c>
      <c r="AL55" s="7">
        <f t="shared" si="112"/>
      </c>
      <c r="AN55" s="7">
        <f t="shared" si="113"/>
      </c>
      <c r="AO55" s="7">
        <f t="shared" si="114"/>
      </c>
      <c r="AP55" s="7">
        <f t="shared" si="115"/>
      </c>
      <c r="AQ55" s="7">
        <f t="shared" si="116"/>
      </c>
      <c r="AR55" s="7">
        <f t="shared" si="117"/>
      </c>
      <c r="AS55" s="7">
        <f t="shared" si="118"/>
      </c>
      <c r="AT55" s="7">
        <f t="shared" si="119"/>
      </c>
      <c r="AU55" s="7">
        <f t="shared" si="120"/>
      </c>
      <c r="AV55" s="7">
        <f t="shared" si="121"/>
      </c>
      <c r="AW55" s="7">
        <f t="shared" si="122"/>
      </c>
      <c r="AY55" s="7">
        <f t="shared" si="123"/>
      </c>
      <c r="AZ55" s="7">
        <f t="shared" si="124"/>
      </c>
      <c r="BA55" s="7">
        <f t="shared" si="125"/>
      </c>
      <c r="BB55" s="7">
        <f t="shared" si="126"/>
      </c>
      <c r="BC55" s="7">
        <f t="shared" si="127"/>
      </c>
      <c r="BD55" s="7">
        <f t="shared" si="128"/>
      </c>
      <c r="BE55" s="7">
        <f t="shared" si="129"/>
      </c>
      <c r="BF55" s="7">
        <f t="shared" si="130"/>
      </c>
      <c r="BG55" s="7">
        <f t="shared" si="131"/>
      </c>
      <c r="BH55" s="7">
        <f t="shared" si="132"/>
      </c>
      <c r="BJ55" s="7">
        <f t="shared" si="133"/>
      </c>
      <c r="BK55" s="7">
        <f t="shared" si="134"/>
      </c>
      <c r="BL55" s="7">
        <f t="shared" si="135"/>
      </c>
      <c r="BM55" s="7">
        <f t="shared" si="136"/>
      </c>
      <c r="BN55" s="7">
        <f t="shared" si="137"/>
      </c>
      <c r="BO55" s="7">
        <f t="shared" si="138"/>
      </c>
      <c r="BP55" s="7">
        <f t="shared" si="139"/>
      </c>
      <c r="BQ55" s="7">
        <f t="shared" si="140"/>
      </c>
      <c r="BR55" s="7">
        <f t="shared" si="141"/>
      </c>
      <c r="BS55" s="7">
        <f t="shared" si="142"/>
      </c>
      <c r="BU55" s="7">
        <f t="shared" si="143"/>
      </c>
      <c r="BV55" s="7">
        <f t="shared" si="144"/>
      </c>
      <c r="BW55" s="7">
        <f t="shared" si="145"/>
      </c>
      <c r="BX55" s="7">
        <f t="shared" si="146"/>
      </c>
      <c r="BY55" s="7">
        <f t="shared" si="147"/>
      </c>
      <c r="BZ55" s="7">
        <f t="shared" si="148"/>
      </c>
      <c r="CA55" s="7">
        <f t="shared" si="149"/>
      </c>
      <c r="CB55" s="7">
        <f t="shared" si="150"/>
      </c>
      <c r="CC55" s="7">
        <f t="shared" si="151"/>
      </c>
      <c r="CD55" s="7">
        <f t="shared" si="152"/>
      </c>
      <c r="CF55" s="7">
        <f t="shared" si="153"/>
      </c>
      <c r="CG55" s="7">
        <f t="shared" si="154"/>
      </c>
      <c r="CH55" s="7">
        <f t="shared" si="155"/>
      </c>
      <c r="CI55" s="7">
        <f t="shared" si="156"/>
      </c>
      <c r="CJ55" s="7">
        <f t="shared" si="157"/>
      </c>
      <c r="CK55" s="7">
        <f t="shared" si="158"/>
      </c>
      <c r="CL55" s="7">
        <f t="shared" si="159"/>
      </c>
      <c r="CM55" s="7">
        <f t="shared" si="160"/>
      </c>
      <c r="CN55" s="7">
        <f t="shared" si="161"/>
      </c>
      <c r="CO55" s="7">
        <f t="shared" si="162"/>
      </c>
      <c r="CQ55" s="7">
        <f t="shared" si="163"/>
      </c>
      <c r="CR55" s="7">
        <f t="shared" si="164"/>
      </c>
      <c r="CS55" s="7">
        <f t="shared" si="165"/>
      </c>
      <c r="CT55" s="7">
        <f t="shared" si="166"/>
      </c>
      <c r="CU55" s="7">
        <f t="shared" si="167"/>
      </c>
      <c r="CV55" s="7">
        <f t="shared" si="168"/>
      </c>
      <c r="CW55" s="7">
        <f t="shared" si="169"/>
      </c>
      <c r="CX55" s="7">
        <f t="shared" si="170"/>
      </c>
      <c r="CY55" s="7">
        <f t="shared" si="171"/>
      </c>
      <c r="CZ55" s="7">
        <f t="shared" si="172"/>
      </c>
      <c r="DB55" s="7">
        <f t="shared" si="173"/>
      </c>
      <c r="DC55" s="7">
        <f t="shared" si="174"/>
      </c>
      <c r="DD55" s="7">
        <f t="shared" si="175"/>
      </c>
      <c r="DE55" s="7">
        <f t="shared" si="176"/>
      </c>
      <c r="DF55" s="7">
        <f t="shared" si="177"/>
      </c>
      <c r="DG55" s="7">
        <f t="shared" si="178"/>
      </c>
      <c r="DH55" s="7">
        <f t="shared" si="179"/>
      </c>
      <c r="DI55" s="7">
        <f t="shared" si="180"/>
      </c>
      <c r="DJ55" s="7">
        <f t="shared" si="181"/>
      </c>
      <c r="DK55" s="7">
        <f t="shared" si="182"/>
      </c>
    </row>
    <row r="56" spans="28:115" ht="11.25">
      <c r="AB56" s="12"/>
      <c r="AC56" s="7">
        <f t="shared" si="103"/>
      </c>
      <c r="AD56" s="7">
        <f t="shared" si="104"/>
      </c>
      <c r="AE56" s="7">
        <f t="shared" si="105"/>
      </c>
      <c r="AF56" s="7">
        <f t="shared" si="106"/>
      </c>
      <c r="AG56" s="7">
        <f t="shared" si="107"/>
      </c>
      <c r="AH56" s="7">
        <f t="shared" si="108"/>
      </c>
      <c r="AI56" s="7">
        <f t="shared" si="109"/>
      </c>
      <c r="AJ56" s="7">
        <f t="shared" si="110"/>
      </c>
      <c r="AK56" s="7">
        <f t="shared" si="111"/>
      </c>
      <c r="AL56" s="7">
        <f t="shared" si="112"/>
      </c>
      <c r="AN56" s="7">
        <f t="shared" si="113"/>
      </c>
      <c r="AO56" s="7">
        <f t="shared" si="114"/>
      </c>
      <c r="AP56" s="7">
        <f t="shared" si="115"/>
      </c>
      <c r="AQ56" s="7">
        <f t="shared" si="116"/>
      </c>
      <c r="AR56" s="7">
        <f t="shared" si="117"/>
      </c>
      <c r="AS56" s="7">
        <f t="shared" si="118"/>
      </c>
      <c r="AT56" s="7">
        <f t="shared" si="119"/>
      </c>
      <c r="AU56" s="7">
        <f t="shared" si="120"/>
      </c>
      <c r="AV56" s="7">
        <f t="shared" si="121"/>
      </c>
      <c r="AW56" s="7">
        <f t="shared" si="122"/>
      </c>
      <c r="AY56" s="7">
        <f t="shared" si="123"/>
      </c>
      <c r="AZ56" s="7">
        <f t="shared" si="124"/>
      </c>
      <c r="BA56" s="7">
        <f t="shared" si="125"/>
      </c>
      <c r="BB56" s="7">
        <f t="shared" si="126"/>
      </c>
      <c r="BC56" s="7">
        <f t="shared" si="127"/>
      </c>
      <c r="BD56" s="7">
        <f t="shared" si="128"/>
      </c>
      <c r="BE56" s="7">
        <f t="shared" si="129"/>
      </c>
      <c r="BF56" s="7">
        <f t="shared" si="130"/>
      </c>
      <c r="BG56" s="7">
        <f t="shared" si="131"/>
      </c>
      <c r="BH56" s="7">
        <f t="shared" si="132"/>
      </c>
      <c r="BJ56" s="7">
        <f t="shared" si="133"/>
      </c>
      <c r="BK56" s="7">
        <f t="shared" si="134"/>
      </c>
      <c r="BL56" s="7">
        <f t="shared" si="135"/>
      </c>
      <c r="BM56" s="7">
        <f t="shared" si="136"/>
      </c>
      <c r="BN56" s="7">
        <f t="shared" si="137"/>
      </c>
      <c r="BO56" s="7">
        <f t="shared" si="138"/>
      </c>
      <c r="BP56" s="7">
        <f t="shared" si="139"/>
      </c>
      <c r="BQ56" s="7">
        <f t="shared" si="140"/>
      </c>
      <c r="BR56" s="7">
        <f t="shared" si="141"/>
      </c>
      <c r="BS56" s="7">
        <f t="shared" si="142"/>
      </c>
      <c r="BU56" s="7">
        <f t="shared" si="143"/>
      </c>
      <c r="BV56" s="7">
        <f t="shared" si="144"/>
      </c>
      <c r="BW56" s="7">
        <f t="shared" si="145"/>
      </c>
      <c r="BX56" s="7">
        <f t="shared" si="146"/>
      </c>
      <c r="BY56" s="7">
        <f t="shared" si="147"/>
      </c>
      <c r="BZ56" s="7">
        <f t="shared" si="148"/>
      </c>
      <c r="CA56" s="7">
        <f t="shared" si="149"/>
      </c>
      <c r="CB56" s="7">
        <f t="shared" si="150"/>
      </c>
      <c r="CC56" s="7">
        <f t="shared" si="151"/>
      </c>
      <c r="CD56" s="7">
        <f t="shared" si="152"/>
      </c>
      <c r="CF56" s="7">
        <f t="shared" si="153"/>
      </c>
      <c r="CG56" s="7">
        <f t="shared" si="154"/>
      </c>
      <c r="CH56" s="7">
        <f t="shared" si="155"/>
      </c>
      <c r="CI56" s="7">
        <f t="shared" si="156"/>
      </c>
      <c r="CJ56" s="7">
        <f t="shared" si="157"/>
      </c>
      <c r="CK56" s="7">
        <f t="shared" si="158"/>
      </c>
      <c r="CL56" s="7">
        <f t="shared" si="159"/>
      </c>
      <c r="CM56" s="7">
        <f t="shared" si="160"/>
      </c>
      <c r="CN56" s="7">
        <f t="shared" si="161"/>
      </c>
      <c r="CO56" s="7">
        <f t="shared" si="162"/>
      </c>
      <c r="CQ56" s="7">
        <f t="shared" si="163"/>
      </c>
      <c r="CR56" s="7">
        <f t="shared" si="164"/>
      </c>
      <c r="CS56" s="7">
        <f t="shared" si="165"/>
      </c>
      <c r="CT56" s="7">
        <f t="shared" si="166"/>
      </c>
      <c r="CU56" s="7">
        <f t="shared" si="167"/>
      </c>
      <c r="CV56" s="7">
        <f t="shared" si="168"/>
      </c>
      <c r="CW56" s="7">
        <f t="shared" si="169"/>
      </c>
      <c r="CX56" s="7">
        <f t="shared" si="170"/>
      </c>
      <c r="CY56" s="7">
        <f t="shared" si="171"/>
      </c>
      <c r="CZ56" s="7">
        <f t="shared" si="172"/>
      </c>
      <c r="DB56" s="7">
        <f t="shared" si="173"/>
      </c>
      <c r="DC56" s="7">
        <f t="shared" si="174"/>
      </c>
      <c r="DD56" s="7">
        <f t="shared" si="175"/>
      </c>
      <c r="DE56" s="7">
        <f t="shared" si="176"/>
      </c>
      <c r="DF56" s="7">
        <f t="shared" si="177"/>
      </c>
      <c r="DG56" s="7">
        <f t="shared" si="178"/>
      </c>
      <c r="DH56" s="7">
        <f t="shared" si="179"/>
      </c>
      <c r="DI56" s="7">
        <f t="shared" si="180"/>
      </c>
      <c r="DJ56" s="7">
        <f t="shared" si="181"/>
      </c>
      <c r="DK56" s="7">
        <f t="shared" si="182"/>
      </c>
    </row>
    <row r="57" spans="28:115" ht="11.25">
      <c r="AB57" s="12"/>
      <c r="AC57" s="7">
        <f t="shared" si="103"/>
      </c>
      <c r="AD57" s="7">
        <f t="shared" si="104"/>
      </c>
      <c r="AE57" s="7">
        <f t="shared" si="105"/>
      </c>
      <c r="AF57" s="7">
        <f t="shared" si="106"/>
      </c>
      <c r="AG57" s="7">
        <f t="shared" si="107"/>
      </c>
      <c r="AH57" s="7">
        <f t="shared" si="108"/>
      </c>
      <c r="AI57" s="7">
        <f t="shared" si="109"/>
      </c>
      <c r="AJ57" s="7">
        <f t="shared" si="110"/>
      </c>
      <c r="AK57" s="7">
        <f t="shared" si="111"/>
      </c>
      <c r="AL57" s="7">
        <f t="shared" si="112"/>
      </c>
      <c r="AN57" s="7">
        <f t="shared" si="113"/>
      </c>
      <c r="AO57" s="7">
        <f t="shared" si="114"/>
      </c>
      <c r="AP57" s="7">
        <f t="shared" si="115"/>
      </c>
      <c r="AQ57" s="7">
        <f t="shared" si="116"/>
      </c>
      <c r="AR57" s="7">
        <f t="shared" si="117"/>
      </c>
      <c r="AS57" s="7">
        <f t="shared" si="118"/>
      </c>
      <c r="AT57" s="7">
        <f t="shared" si="119"/>
      </c>
      <c r="AU57" s="7">
        <f t="shared" si="120"/>
      </c>
      <c r="AV57" s="7">
        <f t="shared" si="121"/>
      </c>
      <c r="AW57" s="7">
        <f t="shared" si="122"/>
      </c>
      <c r="AY57" s="7">
        <f t="shared" si="123"/>
      </c>
      <c r="AZ57" s="7">
        <f t="shared" si="124"/>
      </c>
      <c r="BA57" s="7">
        <f t="shared" si="125"/>
      </c>
      <c r="BB57" s="7">
        <f t="shared" si="126"/>
      </c>
      <c r="BC57" s="7">
        <f t="shared" si="127"/>
      </c>
      <c r="BD57" s="7">
        <f t="shared" si="128"/>
      </c>
      <c r="BE57" s="7">
        <f t="shared" si="129"/>
      </c>
      <c r="BF57" s="7">
        <f t="shared" si="130"/>
      </c>
      <c r="BG57" s="7">
        <f t="shared" si="131"/>
      </c>
      <c r="BH57" s="7">
        <f t="shared" si="132"/>
      </c>
      <c r="BJ57" s="7">
        <f t="shared" si="133"/>
      </c>
      <c r="BK57" s="7">
        <f t="shared" si="134"/>
      </c>
      <c r="BL57" s="7">
        <f t="shared" si="135"/>
      </c>
      <c r="BM57" s="7">
        <f t="shared" si="136"/>
      </c>
      <c r="BN57" s="7">
        <f t="shared" si="137"/>
      </c>
      <c r="BO57" s="7">
        <f t="shared" si="138"/>
      </c>
      <c r="BP57" s="7">
        <f t="shared" si="139"/>
      </c>
      <c r="BQ57" s="7">
        <f t="shared" si="140"/>
      </c>
      <c r="BR57" s="7">
        <f t="shared" si="141"/>
      </c>
      <c r="BS57" s="7">
        <f t="shared" si="142"/>
      </c>
      <c r="BU57" s="7">
        <f t="shared" si="143"/>
      </c>
      <c r="BV57" s="7">
        <f t="shared" si="144"/>
      </c>
      <c r="BW57" s="7">
        <f t="shared" si="145"/>
      </c>
      <c r="BX57" s="7">
        <f t="shared" si="146"/>
      </c>
      <c r="BY57" s="7">
        <f t="shared" si="147"/>
      </c>
      <c r="BZ57" s="7">
        <f t="shared" si="148"/>
      </c>
      <c r="CA57" s="7">
        <f t="shared" si="149"/>
      </c>
      <c r="CB57" s="7">
        <f t="shared" si="150"/>
      </c>
      <c r="CC57" s="7">
        <f t="shared" si="151"/>
      </c>
      <c r="CD57" s="7">
        <f t="shared" si="152"/>
      </c>
      <c r="CF57" s="7">
        <f t="shared" si="153"/>
      </c>
      <c r="CG57" s="7">
        <f t="shared" si="154"/>
      </c>
      <c r="CH57" s="7">
        <f t="shared" si="155"/>
      </c>
      <c r="CI57" s="7">
        <f t="shared" si="156"/>
      </c>
      <c r="CJ57" s="7">
        <f t="shared" si="157"/>
      </c>
      <c r="CK57" s="7">
        <f t="shared" si="158"/>
      </c>
      <c r="CL57" s="7">
        <f t="shared" si="159"/>
      </c>
      <c r="CM57" s="7">
        <f t="shared" si="160"/>
      </c>
      <c r="CN57" s="7">
        <f t="shared" si="161"/>
      </c>
      <c r="CO57" s="7">
        <f t="shared" si="162"/>
      </c>
      <c r="CQ57" s="7">
        <f t="shared" si="163"/>
      </c>
      <c r="CR57" s="7">
        <f t="shared" si="164"/>
      </c>
      <c r="CS57" s="7">
        <f t="shared" si="165"/>
      </c>
      <c r="CT57" s="7">
        <f t="shared" si="166"/>
      </c>
      <c r="CU57" s="7">
        <f t="shared" si="167"/>
      </c>
      <c r="CV57" s="7">
        <f t="shared" si="168"/>
      </c>
      <c r="CW57" s="7">
        <f t="shared" si="169"/>
      </c>
      <c r="CX57" s="7">
        <f t="shared" si="170"/>
      </c>
      <c r="CY57" s="7">
        <f t="shared" si="171"/>
      </c>
      <c r="CZ57" s="7">
        <f t="shared" si="172"/>
      </c>
      <c r="DB57" s="7">
        <f t="shared" si="173"/>
      </c>
      <c r="DC57" s="7">
        <f t="shared" si="174"/>
      </c>
      <c r="DD57" s="7">
        <f t="shared" si="175"/>
      </c>
      <c r="DE57" s="7">
        <f t="shared" si="176"/>
      </c>
      <c r="DF57" s="7">
        <f t="shared" si="177"/>
      </c>
      <c r="DG57" s="7">
        <f t="shared" si="178"/>
      </c>
      <c r="DH57" s="7">
        <f t="shared" si="179"/>
      </c>
      <c r="DI57" s="7">
        <f t="shared" si="180"/>
      </c>
      <c r="DJ57" s="7">
        <f t="shared" si="181"/>
      </c>
      <c r="DK57" s="7">
        <f t="shared" si="182"/>
      </c>
    </row>
    <row r="58" spans="28:115" ht="11.25">
      <c r="AB58" s="12"/>
      <c r="AC58" s="7">
        <f t="shared" si="103"/>
      </c>
      <c r="AD58" s="7">
        <f t="shared" si="104"/>
      </c>
      <c r="AE58" s="7">
        <f t="shared" si="105"/>
      </c>
      <c r="AF58" s="7">
        <f t="shared" si="106"/>
      </c>
      <c r="AG58" s="7">
        <f t="shared" si="107"/>
      </c>
      <c r="AH58" s="7">
        <f t="shared" si="108"/>
      </c>
      <c r="AI58" s="7">
        <f t="shared" si="109"/>
      </c>
      <c r="AJ58" s="7">
        <f t="shared" si="110"/>
      </c>
      <c r="AK58" s="7">
        <f t="shared" si="111"/>
      </c>
      <c r="AL58" s="7">
        <f t="shared" si="112"/>
      </c>
      <c r="AN58" s="7">
        <f t="shared" si="113"/>
      </c>
      <c r="AO58" s="7">
        <f t="shared" si="114"/>
      </c>
      <c r="AP58" s="7">
        <f t="shared" si="115"/>
      </c>
      <c r="AQ58" s="7">
        <f t="shared" si="116"/>
      </c>
      <c r="AR58" s="7">
        <f t="shared" si="117"/>
      </c>
      <c r="AS58" s="7">
        <f t="shared" si="118"/>
      </c>
      <c r="AT58" s="7">
        <f t="shared" si="119"/>
      </c>
      <c r="AU58" s="7">
        <f t="shared" si="120"/>
      </c>
      <c r="AV58" s="7">
        <f t="shared" si="121"/>
      </c>
      <c r="AW58" s="7">
        <f t="shared" si="122"/>
      </c>
      <c r="AY58" s="7">
        <f t="shared" si="123"/>
      </c>
      <c r="AZ58" s="7">
        <f t="shared" si="124"/>
      </c>
      <c r="BA58" s="7">
        <f t="shared" si="125"/>
      </c>
      <c r="BB58" s="7">
        <f t="shared" si="126"/>
      </c>
      <c r="BC58" s="7">
        <f t="shared" si="127"/>
      </c>
      <c r="BD58" s="7">
        <f t="shared" si="128"/>
      </c>
      <c r="BE58" s="7">
        <f t="shared" si="129"/>
      </c>
      <c r="BF58" s="7">
        <f t="shared" si="130"/>
      </c>
      <c r="BG58" s="7">
        <f t="shared" si="131"/>
      </c>
      <c r="BH58" s="7">
        <f t="shared" si="132"/>
      </c>
      <c r="BJ58" s="7">
        <f t="shared" si="133"/>
      </c>
      <c r="BK58" s="7">
        <f t="shared" si="134"/>
      </c>
      <c r="BL58" s="7">
        <f t="shared" si="135"/>
      </c>
      <c r="BM58" s="7">
        <f t="shared" si="136"/>
      </c>
      <c r="BN58" s="7">
        <f t="shared" si="137"/>
      </c>
      <c r="BO58" s="7">
        <f t="shared" si="138"/>
      </c>
      <c r="BP58" s="7">
        <f t="shared" si="139"/>
      </c>
      <c r="BQ58" s="7">
        <f t="shared" si="140"/>
      </c>
      <c r="BR58" s="7">
        <f t="shared" si="141"/>
      </c>
      <c r="BS58" s="7">
        <f t="shared" si="142"/>
      </c>
      <c r="BU58" s="7">
        <f t="shared" si="143"/>
      </c>
      <c r="BV58" s="7">
        <f t="shared" si="144"/>
      </c>
      <c r="BW58" s="7">
        <f t="shared" si="145"/>
      </c>
      <c r="BX58" s="7">
        <f t="shared" si="146"/>
      </c>
      <c r="BY58" s="7">
        <f t="shared" si="147"/>
      </c>
      <c r="BZ58" s="7">
        <f t="shared" si="148"/>
      </c>
      <c r="CA58" s="7">
        <f t="shared" si="149"/>
      </c>
      <c r="CB58" s="7">
        <f t="shared" si="150"/>
      </c>
      <c r="CC58" s="7">
        <f t="shared" si="151"/>
      </c>
      <c r="CD58" s="7">
        <f t="shared" si="152"/>
      </c>
      <c r="CF58" s="7">
        <f t="shared" si="153"/>
      </c>
      <c r="CG58" s="7">
        <f t="shared" si="154"/>
      </c>
      <c r="CH58" s="7">
        <f t="shared" si="155"/>
      </c>
      <c r="CI58" s="7">
        <f t="shared" si="156"/>
      </c>
      <c r="CJ58" s="7">
        <f t="shared" si="157"/>
      </c>
      <c r="CK58" s="7">
        <f t="shared" si="158"/>
      </c>
      <c r="CL58" s="7">
        <f t="shared" si="159"/>
      </c>
      <c r="CM58" s="7">
        <f t="shared" si="160"/>
      </c>
      <c r="CN58" s="7">
        <f t="shared" si="161"/>
      </c>
      <c r="CO58" s="7">
        <f t="shared" si="162"/>
      </c>
      <c r="CQ58" s="7">
        <f t="shared" si="163"/>
      </c>
      <c r="CR58" s="7">
        <f t="shared" si="164"/>
      </c>
      <c r="CS58" s="7">
        <f t="shared" si="165"/>
      </c>
      <c r="CT58" s="7">
        <f t="shared" si="166"/>
      </c>
      <c r="CU58" s="7">
        <f t="shared" si="167"/>
      </c>
      <c r="CV58" s="7">
        <f t="shared" si="168"/>
      </c>
      <c r="CW58" s="7">
        <f t="shared" si="169"/>
      </c>
      <c r="CX58" s="7">
        <f t="shared" si="170"/>
      </c>
      <c r="CY58" s="7">
        <f t="shared" si="171"/>
      </c>
      <c r="CZ58" s="7">
        <f t="shared" si="172"/>
      </c>
      <c r="DB58" s="7">
        <f t="shared" si="173"/>
      </c>
      <c r="DC58" s="7">
        <f t="shared" si="174"/>
      </c>
      <c r="DD58" s="7">
        <f t="shared" si="175"/>
      </c>
      <c r="DE58" s="7">
        <f t="shared" si="176"/>
      </c>
      <c r="DF58" s="7">
        <f t="shared" si="177"/>
      </c>
      <c r="DG58" s="7">
        <f t="shared" si="178"/>
      </c>
      <c r="DH58" s="7">
        <f t="shared" si="179"/>
      </c>
      <c r="DI58" s="7">
        <f t="shared" si="180"/>
      </c>
      <c r="DJ58" s="7">
        <f t="shared" si="181"/>
      </c>
      <c r="DK58" s="7">
        <f t="shared" si="182"/>
      </c>
    </row>
    <row r="59" spans="28:115" ht="11.25">
      <c r="AB59" s="12"/>
      <c r="AC59" s="7">
        <f t="shared" si="103"/>
      </c>
      <c r="AD59" s="7">
        <f t="shared" si="104"/>
      </c>
      <c r="AE59" s="7">
        <f t="shared" si="105"/>
      </c>
      <c r="AF59" s="7">
        <f t="shared" si="106"/>
      </c>
      <c r="AG59" s="7">
        <f t="shared" si="107"/>
      </c>
      <c r="AH59" s="7">
        <f t="shared" si="108"/>
      </c>
      <c r="AI59" s="7">
        <f t="shared" si="109"/>
      </c>
      <c r="AJ59" s="7">
        <f t="shared" si="110"/>
      </c>
      <c r="AK59" s="7">
        <f t="shared" si="111"/>
      </c>
      <c r="AL59" s="7">
        <f t="shared" si="112"/>
      </c>
      <c r="AN59" s="7">
        <f t="shared" si="113"/>
      </c>
      <c r="AO59" s="7">
        <f t="shared" si="114"/>
      </c>
      <c r="AP59" s="7">
        <f t="shared" si="115"/>
      </c>
      <c r="AQ59" s="7">
        <f t="shared" si="116"/>
      </c>
      <c r="AR59" s="7">
        <f t="shared" si="117"/>
      </c>
      <c r="AS59" s="7">
        <f t="shared" si="118"/>
      </c>
      <c r="AT59" s="7">
        <f t="shared" si="119"/>
      </c>
      <c r="AU59" s="7">
        <f t="shared" si="120"/>
      </c>
      <c r="AV59" s="7">
        <f t="shared" si="121"/>
      </c>
      <c r="AW59" s="7">
        <f t="shared" si="122"/>
      </c>
      <c r="AY59" s="7">
        <f t="shared" si="123"/>
      </c>
      <c r="AZ59" s="7">
        <f t="shared" si="124"/>
      </c>
      <c r="BA59" s="7">
        <f t="shared" si="125"/>
      </c>
      <c r="BB59" s="7">
        <f t="shared" si="126"/>
      </c>
      <c r="BC59" s="7">
        <f t="shared" si="127"/>
      </c>
      <c r="BD59" s="7">
        <f t="shared" si="128"/>
      </c>
      <c r="BE59" s="7">
        <f t="shared" si="129"/>
      </c>
      <c r="BF59" s="7">
        <f t="shared" si="130"/>
      </c>
      <c r="BG59" s="7">
        <f t="shared" si="131"/>
      </c>
      <c r="BH59" s="7">
        <f t="shared" si="132"/>
      </c>
      <c r="BJ59" s="7">
        <f t="shared" si="133"/>
      </c>
      <c r="BK59" s="7">
        <f t="shared" si="134"/>
      </c>
      <c r="BL59" s="7">
        <f t="shared" si="135"/>
      </c>
      <c r="BM59" s="7">
        <f t="shared" si="136"/>
      </c>
      <c r="BN59" s="7">
        <f t="shared" si="137"/>
      </c>
      <c r="BO59" s="7">
        <f t="shared" si="138"/>
      </c>
      <c r="BP59" s="7">
        <f t="shared" si="139"/>
      </c>
      <c r="BQ59" s="7">
        <f t="shared" si="140"/>
      </c>
      <c r="BR59" s="7">
        <f t="shared" si="141"/>
      </c>
      <c r="BS59" s="7">
        <f t="shared" si="142"/>
      </c>
      <c r="BU59" s="7">
        <f t="shared" si="143"/>
      </c>
      <c r="BV59" s="7">
        <f t="shared" si="144"/>
      </c>
      <c r="BW59" s="7">
        <f t="shared" si="145"/>
      </c>
      <c r="BX59" s="7">
        <f t="shared" si="146"/>
      </c>
      <c r="BY59" s="7">
        <f t="shared" si="147"/>
      </c>
      <c r="BZ59" s="7">
        <f t="shared" si="148"/>
      </c>
      <c r="CA59" s="7">
        <f t="shared" si="149"/>
      </c>
      <c r="CB59" s="7">
        <f t="shared" si="150"/>
      </c>
      <c r="CC59" s="7">
        <f t="shared" si="151"/>
      </c>
      <c r="CD59" s="7">
        <f t="shared" si="152"/>
      </c>
      <c r="CF59" s="7">
        <f t="shared" si="153"/>
      </c>
      <c r="CG59" s="7">
        <f t="shared" si="154"/>
      </c>
      <c r="CH59" s="7">
        <f t="shared" si="155"/>
      </c>
      <c r="CI59" s="7">
        <f t="shared" si="156"/>
      </c>
      <c r="CJ59" s="7">
        <f t="shared" si="157"/>
      </c>
      <c r="CK59" s="7">
        <f t="shared" si="158"/>
      </c>
      <c r="CL59" s="7">
        <f t="shared" si="159"/>
      </c>
      <c r="CM59" s="7">
        <f t="shared" si="160"/>
      </c>
      <c r="CN59" s="7">
        <f t="shared" si="161"/>
      </c>
      <c r="CO59" s="7">
        <f t="shared" si="162"/>
      </c>
      <c r="CQ59" s="7">
        <f t="shared" si="163"/>
      </c>
      <c r="CR59" s="7">
        <f t="shared" si="164"/>
      </c>
      <c r="CS59" s="7">
        <f t="shared" si="165"/>
      </c>
      <c r="CT59" s="7">
        <f t="shared" si="166"/>
      </c>
      <c r="CU59" s="7">
        <f t="shared" si="167"/>
      </c>
      <c r="CV59" s="7">
        <f t="shared" si="168"/>
      </c>
      <c r="CW59" s="7">
        <f t="shared" si="169"/>
      </c>
      <c r="CX59" s="7">
        <f t="shared" si="170"/>
      </c>
      <c r="CY59" s="7">
        <f t="shared" si="171"/>
      </c>
      <c r="CZ59" s="7">
        <f t="shared" si="172"/>
      </c>
      <c r="DB59" s="7">
        <f t="shared" si="173"/>
      </c>
      <c r="DC59" s="7">
        <f t="shared" si="174"/>
      </c>
      <c r="DD59" s="7">
        <f t="shared" si="175"/>
      </c>
      <c r="DE59" s="7">
        <f t="shared" si="176"/>
      </c>
      <c r="DF59" s="7">
        <f t="shared" si="177"/>
      </c>
      <c r="DG59" s="7">
        <f t="shared" si="178"/>
      </c>
      <c r="DH59" s="7">
        <f t="shared" si="179"/>
      </c>
      <c r="DI59" s="7">
        <f t="shared" si="180"/>
      </c>
      <c r="DJ59" s="7">
        <f t="shared" si="181"/>
      </c>
      <c r="DK59" s="7">
        <f t="shared" si="182"/>
      </c>
    </row>
    <row r="60" spans="28:115" ht="11.25">
      <c r="AB60" s="12"/>
      <c r="AC60" s="7">
        <f t="shared" si="103"/>
      </c>
      <c r="AD60" s="7">
        <f t="shared" si="104"/>
      </c>
      <c r="AE60" s="7">
        <f t="shared" si="105"/>
      </c>
      <c r="AF60" s="7">
        <f t="shared" si="106"/>
      </c>
      <c r="AG60" s="7">
        <f t="shared" si="107"/>
      </c>
      <c r="AH60" s="7">
        <f t="shared" si="108"/>
      </c>
      <c r="AI60" s="7">
        <f t="shared" si="109"/>
      </c>
      <c r="AJ60" s="7">
        <f t="shared" si="110"/>
      </c>
      <c r="AK60" s="7">
        <f t="shared" si="111"/>
      </c>
      <c r="AL60" s="7">
        <f t="shared" si="112"/>
      </c>
      <c r="AN60" s="7">
        <f t="shared" si="113"/>
      </c>
      <c r="AO60" s="7">
        <f t="shared" si="114"/>
      </c>
      <c r="AP60" s="7">
        <f t="shared" si="115"/>
      </c>
      <c r="AQ60" s="7">
        <f t="shared" si="116"/>
      </c>
      <c r="AR60" s="7">
        <f t="shared" si="117"/>
      </c>
      <c r="AS60" s="7">
        <f t="shared" si="118"/>
      </c>
      <c r="AT60" s="7">
        <f t="shared" si="119"/>
      </c>
      <c r="AU60" s="7">
        <f t="shared" si="120"/>
      </c>
      <c r="AV60" s="7">
        <f t="shared" si="121"/>
      </c>
      <c r="AW60" s="7">
        <f t="shared" si="122"/>
      </c>
      <c r="AY60" s="7">
        <f t="shared" si="123"/>
      </c>
      <c r="AZ60" s="7">
        <f t="shared" si="124"/>
      </c>
      <c r="BA60" s="7">
        <f t="shared" si="125"/>
      </c>
      <c r="BB60" s="7">
        <f t="shared" si="126"/>
      </c>
      <c r="BC60" s="7">
        <f t="shared" si="127"/>
      </c>
      <c r="BD60" s="7">
        <f t="shared" si="128"/>
      </c>
      <c r="BE60" s="7">
        <f t="shared" si="129"/>
      </c>
      <c r="BF60" s="7">
        <f t="shared" si="130"/>
      </c>
      <c r="BG60" s="7">
        <f t="shared" si="131"/>
      </c>
      <c r="BH60" s="7">
        <f t="shared" si="132"/>
      </c>
      <c r="BJ60" s="7">
        <f t="shared" si="133"/>
      </c>
      <c r="BK60" s="7">
        <f t="shared" si="134"/>
      </c>
      <c r="BL60" s="7">
        <f t="shared" si="135"/>
      </c>
      <c r="BM60" s="7">
        <f t="shared" si="136"/>
      </c>
      <c r="BN60" s="7">
        <f t="shared" si="137"/>
      </c>
      <c r="BO60" s="7">
        <f t="shared" si="138"/>
      </c>
      <c r="BP60" s="7">
        <f t="shared" si="139"/>
      </c>
      <c r="BQ60" s="7">
        <f t="shared" si="140"/>
      </c>
      <c r="BR60" s="7">
        <f t="shared" si="141"/>
      </c>
      <c r="BS60" s="7">
        <f t="shared" si="142"/>
      </c>
      <c r="BU60" s="7">
        <f t="shared" si="143"/>
      </c>
      <c r="BV60" s="7">
        <f t="shared" si="144"/>
      </c>
      <c r="BW60" s="7">
        <f t="shared" si="145"/>
      </c>
      <c r="BX60" s="7">
        <f t="shared" si="146"/>
      </c>
      <c r="BY60" s="7">
        <f t="shared" si="147"/>
      </c>
      <c r="BZ60" s="7">
        <f t="shared" si="148"/>
      </c>
      <c r="CA60" s="7">
        <f t="shared" si="149"/>
      </c>
      <c r="CB60" s="7">
        <f t="shared" si="150"/>
      </c>
      <c r="CC60" s="7">
        <f t="shared" si="151"/>
      </c>
      <c r="CD60" s="7">
        <f t="shared" si="152"/>
      </c>
      <c r="CF60" s="7">
        <f t="shared" si="153"/>
      </c>
      <c r="CG60" s="7">
        <f t="shared" si="154"/>
      </c>
      <c r="CH60" s="7">
        <f t="shared" si="155"/>
      </c>
      <c r="CI60" s="7">
        <f t="shared" si="156"/>
      </c>
      <c r="CJ60" s="7">
        <f t="shared" si="157"/>
      </c>
      <c r="CK60" s="7">
        <f t="shared" si="158"/>
      </c>
      <c r="CL60" s="7">
        <f t="shared" si="159"/>
      </c>
      <c r="CM60" s="7">
        <f t="shared" si="160"/>
      </c>
      <c r="CN60" s="7">
        <f t="shared" si="161"/>
      </c>
      <c r="CO60" s="7">
        <f t="shared" si="162"/>
      </c>
      <c r="CQ60" s="7">
        <f t="shared" si="163"/>
      </c>
      <c r="CR60" s="7">
        <f t="shared" si="164"/>
      </c>
      <c r="CS60" s="7">
        <f t="shared" si="165"/>
      </c>
      <c r="CT60" s="7">
        <f t="shared" si="166"/>
      </c>
      <c r="CU60" s="7">
        <f t="shared" si="167"/>
      </c>
      <c r="CV60" s="7">
        <f t="shared" si="168"/>
      </c>
      <c r="CW60" s="7">
        <f t="shared" si="169"/>
      </c>
      <c r="CX60" s="7">
        <f t="shared" si="170"/>
      </c>
      <c r="CY60" s="7">
        <f t="shared" si="171"/>
      </c>
      <c r="CZ60" s="7">
        <f t="shared" si="172"/>
      </c>
      <c r="DB60" s="7">
        <f t="shared" si="173"/>
      </c>
      <c r="DC60" s="7">
        <f t="shared" si="174"/>
      </c>
      <c r="DD60" s="7">
        <f t="shared" si="175"/>
      </c>
      <c r="DE60" s="7">
        <f t="shared" si="176"/>
      </c>
      <c r="DF60" s="7">
        <f t="shared" si="177"/>
      </c>
      <c r="DG60" s="7">
        <f t="shared" si="178"/>
      </c>
      <c r="DH60" s="7">
        <f t="shared" si="179"/>
      </c>
      <c r="DI60" s="7">
        <f t="shared" si="180"/>
      </c>
      <c r="DJ60" s="7">
        <f t="shared" si="181"/>
      </c>
      <c r="DK60" s="7">
        <f t="shared" si="182"/>
      </c>
    </row>
    <row r="61" spans="28:115" ht="11.25">
      <c r="AB61" s="12"/>
      <c r="AC61" s="7">
        <f t="shared" si="103"/>
      </c>
      <c r="AD61" s="7">
        <f t="shared" si="104"/>
      </c>
      <c r="AE61" s="7">
        <f t="shared" si="105"/>
      </c>
      <c r="AF61" s="7">
        <f t="shared" si="106"/>
      </c>
      <c r="AG61" s="7">
        <f t="shared" si="107"/>
      </c>
      <c r="AH61" s="7">
        <f t="shared" si="108"/>
      </c>
      <c r="AI61" s="7">
        <f t="shared" si="109"/>
      </c>
      <c r="AJ61" s="7">
        <f t="shared" si="110"/>
      </c>
      <c r="AK61" s="7">
        <f t="shared" si="111"/>
      </c>
      <c r="AL61" s="7">
        <f t="shared" si="112"/>
      </c>
      <c r="AN61" s="7">
        <f t="shared" si="113"/>
      </c>
      <c r="AO61" s="7">
        <f t="shared" si="114"/>
      </c>
      <c r="AP61" s="7">
        <f t="shared" si="115"/>
      </c>
      <c r="AQ61" s="7">
        <f t="shared" si="116"/>
      </c>
      <c r="AR61" s="7">
        <f t="shared" si="117"/>
      </c>
      <c r="AS61" s="7">
        <f t="shared" si="118"/>
      </c>
      <c r="AT61" s="7">
        <f t="shared" si="119"/>
      </c>
      <c r="AU61" s="7">
        <f t="shared" si="120"/>
      </c>
      <c r="AV61" s="7">
        <f t="shared" si="121"/>
      </c>
      <c r="AW61" s="7">
        <f t="shared" si="122"/>
      </c>
      <c r="AY61" s="7">
        <f t="shared" si="123"/>
      </c>
      <c r="AZ61" s="7">
        <f t="shared" si="124"/>
      </c>
      <c r="BA61" s="7">
        <f t="shared" si="125"/>
      </c>
      <c r="BB61" s="7">
        <f t="shared" si="126"/>
      </c>
      <c r="BC61" s="7">
        <f t="shared" si="127"/>
      </c>
      <c r="BD61" s="7">
        <f t="shared" si="128"/>
      </c>
      <c r="BE61" s="7">
        <f t="shared" si="129"/>
      </c>
      <c r="BF61" s="7">
        <f t="shared" si="130"/>
      </c>
      <c r="BG61" s="7">
        <f t="shared" si="131"/>
      </c>
      <c r="BH61" s="7">
        <f t="shared" si="132"/>
      </c>
      <c r="BJ61" s="7">
        <f t="shared" si="133"/>
      </c>
      <c r="BK61" s="7">
        <f t="shared" si="134"/>
      </c>
      <c r="BL61" s="7">
        <f t="shared" si="135"/>
      </c>
      <c r="BM61" s="7">
        <f t="shared" si="136"/>
      </c>
      <c r="BN61" s="7">
        <f t="shared" si="137"/>
      </c>
      <c r="BO61" s="7">
        <f t="shared" si="138"/>
      </c>
      <c r="BP61" s="7">
        <f t="shared" si="139"/>
      </c>
      <c r="BQ61" s="7">
        <f t="shared" si="140"/>
      </c>
      <c r="BR61" s="7">
        <f t="shared" si="141"/>
      </c>
      <c r="BS61" s="7">
        <f t="shared" si="142"/>
      </c>
      <c r="BU61" s="7">
        <f t="shared" si="143"/>
      </c>
      <c r="BV61" s="7">
        <f t="shared" si="144"/>
      </c>
      <c r="BW61" s="7">
        <f t="shared" si="145"/>
      </c>
      <c r="BX61" s="7">
        <f t="shared" si="146"/>
      </c>
      <c r="BY61" s="7">
        <f t="shared" si="147"/>
      </c>
      <c r="BZ61" s="7">
        <f t="shared" si="148"/>
      </c>
      <c r="CA61" s="7">
        <f t="shared" si="149"/>
      </c>
      <c r="CB61" s="7">
        <f t="shared" si="150"/>
      </c>
      <c r="CC61" s="7">
        <f t="shared" si="151"/>
      </c>
      <c r="CD61" s="7">
        <f t="shared" si="152"/>
      </c>
      <c r="CF61" s="7">
        <f t="shared" si="153"/>
      </c>
      <c r="CG61" s="7">
        <f t="shared" si="154"/>
      </c>
      <c r="CH61" s="7">
        <f t="shared" si="155"/>
      </c>
      <c r="CI61" s="7">
        <f t="shared" si="156"/>
      </c>
      <c r="CJ61" s="7">
        <f t="shared" si="157"/>
      </c>
      <c r="CK61" s="7">
        <f t="shared" si="158"/>
      </c>
      <c r="CL61" s="7">
        <f t="shared" si="159"/>
      </c>
      <c r="CM61" s="7">
        <f t="shared" si="160"/>
      </c>
      <c r="CN61" s="7">
        <f t="shared" si="161"/>
      </c>
      <c r="CO61" s="7">
        <f t="shared" si="162"/>
      </c>
      <c r="CQ61" s="7">
        <f t="shared" si="163"/>
      </c>
      <c r="CR61" s="7">
        <f t="shared" si="164"/>
      </c>
      <c r="CS61" s="7">
        <f t="shared" si="165"/>
      </c>
      <c r="CT61" s="7">
        <f t="shared" si="166"/>
      </c>
      <c r="CU61" s="7">
        <f t="shared" si="167"/>
      </c>
      <c r="CV61" s="7">
        <f t="shared" si="168"/>
      </c>
      <c r="CW61" s="7">
        <f t="shared" si="169"/>
      </c>
      <c r="CX61" s="7">
        <f t="shared" si="170"/>
      </c>
      <c r="CY61" s="7">
        <f t="shared" si="171"/>
      </c>
      <c r="CZ61" s="7">
        <f t="shared" si="172"/>
      </c>
      <c r="DB61" s="7">
        <f t="shared" si="173"/>
      </c>
      <c r="DC61" s="7">
        <f t="shared" si="174"/>
      </c>
      <c r="DD61" s="7">
        <f t="shared" si="175"/>
      </c>
      <c r="DE61" s="7">
        <f t="shared" si="176"/>
      </c>
      <c r="DF61" s="7">
        <f t="shared" si="177"/>
      </c>
      <c r="DG61" s="7">
        <f t="shared" si="178"/>
      </c>
      <c r="DH61" s="7">
        <f t="shared" si="179"/>
      </c>
      <c r="DI61" s="7">
        <f t="shared" si="180"/>
      </c>
      <c r="DJ61" s="7">
        <f t="shared" si="181"/>
      </c>
      <c r="DK61" s="7">
        <f t="shared" si="182"/>
      </c>
    </row>
    <row r="62" spans="28:115" ht="11.25">
      <c r="AB62" s="12"/>
      <c r="AC62" s="7">
        <f t="shared" si="103"/>
      </c>
      <c r="AD62" s="7">
        <f t="shared" si="104"/>
      </c>
      <c r="AE62" s="7">
        <f t="shared" si="105"/>
      </c>
      <c r="AF62" s="7">
        <f t="shared" si="106"/>
      </c>
      <c r="AG62" s="7">
        <f t="shared" si="107"/>
      </c>
      <c r="AH62" s="7">
        <f t="shared" si="108"/>
      </c>
      <c r="AI62" s="7">
        <f t="shared" si="109"/>
      </c>
      <c r="AJ62" s="7">
        <f t="shared" si="110"/>
      </c>
      <c r="AK62" s="7">
        <f t="shared" si="111"/>
      </c>
      <c r="AL62" s="7">
        <f t="shared" si="112"/>
      </c>
      <c r="AN62" s="7">
        <f t="shared" si="113"/>
      </c>
      <c r="AO62" s="7">
        <f t="shared" si="114"/>
      </c>
      <c r="AP62" s="7">
        <f t="shared" si="115"/>
      </c>
      <c r="AQ62" s="7">
        <f t="shared" si="116"/>
      </c>
      <c r="AR62" s="7">
        <f t="shared" si="117"/>
      </c>
      <c r="AS62" s="7">
        <f t="shared" si="118"/>
      </c>
      <c r="AT62" s="7">
        <f t="shared" si="119"/>
      </c>
      <c r="AU62" s="7">
        <f t="shared" si="120"/>
      </c>
      <c r="AV62" s="7">
        <f t="shared" si="121"/>
      </c>
      <c r="AW62" s="7">
        <f t="shared" si="122"/>
      </c>
      <c r="AY62" s="7">
        <f t="shared" si="123"/>
      </c>
      <c r="AZ62" s="7">
        <f t="shared" si="124"/>
      </c>
      <c r="BA62" s="7">
        <f t="shared" si="125"/>
      </c>
      <c r="BB62" s="7">
        <f t="shared" si="126"/>
      </c>
      <c r="BC62" s="7">
        <f t="shared" si="127"/>
      </c>
      <c r="BD62" s="7">
        <f t="shared" si="128"/>
      </c>
      <c r="BE62" s="7">
        <f t="shared" si="129"/>
      </c>
      <c r="BF62" s="7">
        <f t="shared" si="130"/>
      </c>
      <c r="BG62" s="7">
        <f t="shared" si="131"/>
      </c>
      <c r="BH62" s="7">
        <f t="shared" si="132"/>
      </c>
      <c r="BJ62" s="7">
        <f t="shared" si="133"/>
      </c>
      <c r="BK62" s="7">
        <f t="shared" si="134"/>
      </c>
      <c r="BL62" s="7">
        <f t="shared" si="135"/>
      </c>
      <c r="BM62" s="7">
        <f t="shared" si="136"/>
      </c>
      <c r="BN62" s="7">
        <f t="shared" si="137"/>
      </c>
      <c r="BO62" s="7">
        <f t="shared" si="138"/>
      </c>
      <c r="BP62" s="7">
        <f t="shared" si="139"/>
      </c>
      <c r="BQ62" s="7">
        <f t="shared" si="140"/>
      </c>
      <c r="BR62" s="7">
        <f t="shared" si="141"/>
      </c>
      <c r="BS62" s="7">
        <f t="shared" si="142"/>
      </c>
      <c r="BU62" s="7">
        <f t="shared" si="143"/>
      </c>
      <c r="BV62" s="7">
        <f t="shared" si="144"/>
      </c>
      <c r="BW62" s="7">
        <f t="shared" si="145"/>
      </c>
      <c r="BX62" s="7">
        <f t="shared" si="146"/>
      </c>
      <c r="BY62" s="7">
        <f t="shared" si="147"/>
      </c>
      <c r="BZ62" s="7">
        <f t="shared" si="148"/>
      </c>
      <c r="CA62" s="7">
        <f t="shared" si="149"/>
      </c>
      <c r="CB62" s="7">
        <f t="shared" si="150"/>
      </c>
      <c r="CC62" s="7">
        <f t="shared" si="151"/>
      </c>
      <c r="CD62" s="7">
        <f t="shared" si="152"/>
      </c>
      <c r="CF62" s="7">
        <f t="shared" si="153"/>
      </c>
      <c r="CG62" s="7">
        <f t="shared" si="154"/>
      </c>
      <c r="CH62" s="7">
        <f t="shared" si="155"/>
      </c>
      <c r="CI62" s="7">
        <f t="shared" si="156"/>
      </c>
      <c r="CJ62" s="7">
        <f t="shared" si="157"/>
      </c>
      <c r="CK62" s="7">
        <f t="shared" si="158"/>
      </c>
      <c r="CL62" s="7">
        <f t="shared" si="159"/>
      </c>
      <c r="CM62" s="7">
        <f t="shared" si="160"/>
      </c>
      <c r="CN62" s="7">
        <f t="shared" si="161"/>
      </c>
      <c r="CO62" s="7">
        <f t="shared" si="162"/>
      </c>
      <c r="CQ62" s="7">
        <f t="shared" si="163"/>
      </c>
      <c r="CR62" s="7">
        <f t="shared" si="164"/>
      </c>
      <c r="CS62" s="7">
        <f t="shared" si="165"/>
      </c>
      <c r="CT62" s="7">
        <f t="shared" si="166"/>
      </c>
      <c r="CU62" s="7">
        <f t="shared" si="167"/>
      </c>
      <c r="CV62" s="7">
        <f t="shared" si="168"/>
      </c>
      <c r="CW62" s="7">
        <f t="shared" si="169"/>
      </c>
      <c r="CX62" s="7">
        <f t="shared" si="170"/>
      </c>
      <c r="CY62" s="7">
        <f t="shared" si="171"/>
      </c>
      <c r="CZ62" s="7">
        <f t="shared" si="172"/>
      </c>
      <c r="DB62" s="7">
        <f t="shared" si="173"/>
      </c>
      <c r="DC62" s="7">
        <f t="shared" si="174"/>
      </c>
      <c r="DD62" s="7">
        <f t="shared" si="175"/>
      </c>
      <c r="DE62" s="7">
        <f t="shared" si="176"/>
      </c>
      <c r="DF62" s="7">
        <f t="shared" si="177"/>
      </c>
      <c r="DG62" s="7">
        <f t="shared" si="178"/>
      </c>
      <c r="DH62" s="7">
        <f t="shared" si="179"/>
      </c>
      <c r="DI62" s="7">
        <f t="shared" si="180"/>
      </c>
      <c r="DJ62" s="7">
        <f t="shared" si="181"/>
      </c>
      <c r="DK62" s="7">
        <f t="shared" si="182"/>
      </c>
    </row>
    <row r="63" spans="28:115" ht="11.25">
      <c r="AB63" s="12"/>
      <c r="AC63" s="7">
        <f t="shared" si="103"/>
      </c>
      <c r="AD63" s="7">
        <f t="shared" si="104"/>
      </c>
      <c r="AE63" s="7">
        <f t="shared" si="105"/>
      </c>
      <c r="AF63" s="7">
        <f t="shared" si="106"/>
      </c>
      <c r="AG63" s="7">
        <f t="shared" si="107"/>
      </c>
      <c r="AH63" s="7">
        <f t="shared" si="108"/>
      </c>
      <c r="AI63" s="7">
        <f t="shared" si="109"/>
      </c>
      <c r="AJ63" s="7">
        <f t="shared" si="110"/>
      </c>
      <c r="AK63" s="7">
        <f t="shared" si="111"/>
      </c>
      <c r="AL63" s="7">
        <f t="shared" si="112"/>
      </c>
      <c r="AN63" s="7">
        <f t="shared" si="113"/>
      </c>
      <c r="AO63" s="7">
        <f t="shared" si="114"/>
      </c>
      <c r="AP63" s="7">
        <f t="shared" si="115"/>
      </c>
      <c r="AQ63" s="7">
        <f t="shared" si="116"/>
      </c>
      <c r="AR63" s="7">
        <f t="shared" si="117"/>
      </c>
      <c r="AS63" s="7">
        <f t="shared" si="118"/>
      </c>
      <c r="AT63" s="7">
        <f t="shared" si="119"/>
      </c>
      <c r="AU63" s="7">
        <f t="shared" si="120"/>
      </c>
      <c r="AV63" s="7">
        <f t="shared" si="121"/>
      </c>
      <c r="AW63" s="7">
        <f t="shared" si="122"/>
      </c>
      <c r="AY63" s="7">
        <f t="shared" si="123"/>
      </c>
      <c r="AZ63" s="7">
        <f t="shared" si="124"/>
      </c>
      <c r="BA63" s="7">
        <f t="shared" si="125"/>
      </c>
      <c r="BB63" s="7">
        <f t="shared" si="126"/>
      </c>
      <c r="BC63" s="7">
        <f t="shared" si="127"/>
      </c>
      <c r="BD63" s="7">
        <f t="shared" si="128"/>
      </c>
      <c r="BE63" s="7">
        <f t="shared" si="129"/>
      </c>
      <c r="BF63" s="7">
        <f t="shared" si="130"/>
      </c>
      <c r="BG63" s="7">
        <f t="shared" si="131"/>
      </c>
      <c r="BH63" s="7">
        <f t="shared" si="132"/>
      </c>
      <c r="BJ63" s="7">
        <f t="shared" si="133"/>
      </c>
      <c r="BK63" s="7">
        <f t="shared" si="134"/>
      </c>
      <c r="BL63" s="7">
        <f t="shared" si="135"/>
      </c>
      <c r="BM63" s="7">
        <f t="shared" si="136"/>
      </c>
      <c r="BN63" s="7">
        <f t="shared" si="137"/>
      </c>
      <c r="BO63" s="7">
        <f t="shared" si="138"/>
      </c>
      <c r="BP63" s="7">
        <f t="shared" si="139"/>
      </c>
      <c r="BQ63" s="7">
        <f t="shared" si="140"/>
      </c>
      <c r="BR63" s="7">
        <f t="shared" si="141"/>
      </c>
      <c r="BS63" s="7">
        <f t="shared" si="142"/>
      </c>
      <c r="BU63" s="7">
        <f t="shared" si="143"/>
      </c>
      <c r="BV63" s="7">
        <f t="shared" si="144"/>
      </c>
      <c r="BW63" s="7">
        <f t="shared" si="145"/>
      </c>
      <c r="BX63" s="7">
        <f t="shared" si="146"/>
      </c>
      <c r="BY63" s="7">
        <f t="shared" si="147"/>
      </c>
      <c r="BZ63" s="7">
        <f t="shared" si="148"/>
      </c>
      <c r="CA63" s="7">
        <f t="shared" si="149"/>
      </c>
      <c r="CB63" s="7">
        <f t="shared" si="150"/>
      </c>
      <c r="CC63" s="7">
        <f t="shared" si="151"/>
      </c>
      <c r="CD63" s="7">
        <f t="shared" si="152"/>
      </c>
      <c r="CF63" s="7">
        <f t="shared" si="153"/>
      </c>
      <c r="CG63" s="7">
        <f t="shared" si="154"/>
      </c>
      <c r="CH63" s="7">
        <f t="shared" si="155"/>
      </c>
      <c r="CI63" s="7">
        <f t="shared" si="156"/>
      </c>
      <c r="CJ63" s="7">
        <f t="shared" si="157"/>
      </c>
      <c r="CK63" s="7">
        <f t="shared" si="158"/>
      </c>
      <c r="CL63" s="7">
        <f t="shared" si="159"/>
      </c>
      <c r="CM63" s="7">
        <f t="shared" si="160"/>
      </c>
      <c r="CN63" s="7">
        <f t="shared" si="161"/>
      </c>
      <c r="CO63" s="7">
        <f t="shared" si="162"/>
      </c>
      <c r="CQ63" s="7">
        <f t="shared" si="163"/>
      </c>
      <c r="CR63" s="7">
        <f t="shared" si="164"/>
      </c>
      <c r="CS63" s="7">
        <f t="shared" si="165"/>
      </c>
      <c r="CT63" s="7">
        <f t="shared" si="166"/>
      </c>
      <c r="CU63" s="7">
        <f t="shared" si="167"/>
      </c>
      <c r="CV63" s="7">
        <f t="shared" si="168"/>
      </c>
      <c r="CW63" s="7">
        <f t="shared" si="169"/>
      </c>
      <c r="CX63" s="7">
        <f t="shared" si="170"/>
      </c>
      <c r="CY63" s="7">
        <f t="shared" si="171"/>
      </c>
      <c r="CZ63" s="7">
        <f t="shared" si="172"/>
      </c>
      <c r="DB63" s="7">
        <f t="shared" si="173"/>
      </c>
      <c r="DC63" s="7">
        <f t="shared" si="174"/>
      </c>
      <c r="DD63" s="7">
        <f t="shared" si="175"/>
      </c>
      <c r="DE63" s="7">
        <f t="shared" si="176"/>
      </c>
      <c r="DF63" s="7">
        <f t="shared" si="177"/>
      </c>
      <c r="DG63" s="7">
        <f t="shared" si="178"/>
      </c>
      <c r="DH63" s="7">
        <f t="shared" si="179"/>
      </c>
      <c r="DI63" s="7">
        <f t="shared" si="180"/>
      </c>
      <c r="DJ63" s="7">
        <f t="shared" si="181"/>
      </c>
      <c r="DK63" s="7">
        <f t="shared" si="182"/>
      </c>
    </row>
    <row r="64" spans="28:115" ht="11.25">
      <c r="AB64" s="12"/>
      <c r="AC64" s="7">
        <f t="shared" si="103"/>
      </c>
      <c r="AD64" s="7">
        <f t="shared" si="104"/>
      </c>
      <c r="AE64" s="7">
        <f t="shared" si="105"/>
      </c>
      <c r="AF64" s="7">
        <f t="shared" si="106"/>
      </c>
      <c r="AG64" s="7">
        <f t="shared" si="107"/>
      </c>
      <c r="AH64" s="7">
        <f t="shared" si="108"/>
      </c>
      <c r="AI64" s="7">
        <f t="shared" si="109"/>
      </c>
      <c r="AJ64" s="7">
        <f t="shared" si="110"/>
      </c>
      <c r="AK64" s="7">
        <f t="shared" si="111"/>
      </c>
      <c r="AL64" s="7">
        <f t="shared" si="112"/>
      </c>
      <c r="AN64" s="7">
        <f t="shared" si="113"/>
      </c>
      <c r="AO64" s="7">
        <f t="shared" si="114"/>
      </c>
      <c r="AP64" s="7">
        <f t="shared" si="115"/>
      </c>
      <c r="AQ64" s="7">
        <f t="shared" si="116"/>
      </c>
      <c r="AR64" s="7">
        <f t="shared" si="117"/>
      </c>
      <c r="AS64" s="7">
        <f t="shared" si="118"/>
      </c>
      <c r="AT64" s="7">
        <f t="shared" si="119"/>
      </c>
      <c r="AU64" s="7">
        <f t="shared" si="120"/>
      </c>
      <c r="AV64" s="7">
        <f t="shared" si="121"/>
      </c>
      <c r="AW64" s="7">
        <f t="shared" si="122"/>
      </c>
      <c r="AY64" s="7">
        <f t="shared" si="123"/>
      </c>
      <c r="AZ64" s="7">
        <f t="shared" si="124"/>
      </c>
      <c r="BA64" s="7">
        <f t="shared" si="125"/>
      </c>
      <c r="BB64" s="7">
        <f t="shared" si="126"/>
      </c>
      <c r="BC64" s="7">
        <f t="shared" si="127"/>
      </c>
      <c r="BD64" s="7">
        <f t="shared" si="128"/>
      </c>
      <c r="BE64" s="7">
        <f t="shared" si="129"/>
      </c>
      <c r="BF64" s="7">
        <f t="shared" si="130"/>
      </c>
      <c r="BG64" s="7">
        <f t="shared" si="131"/>
      </c>
      <c r="BH64" s="7">
        <f t="shared" si="132"/>
      </c>
      <c r="BJ64" s="7">
        <f t="shared" si="133"/>
      </c>
      <c r="BK64" s="7">
        <f t="shared" si="134"/>
      </c>
      <c r="BL64" s="7">
        <f t="shared" si="135"/>
      </c>
      <c r="BM64" s="7">
        <f t="shared" si="136"/>
      </c>
      <c r="BN64" s="7">
        <f t="shared" si="137"/>
      </c>
      <c r="BO64" s="7">
        <f t="shared" si="138"/>
      </c>
      <c r="BP64" s="7">
        <f t="shared" si="139"/>
      </c>
      <c r="BQ64" s="7">
        <f t="shared" si="140"/>
      </c>
      <c r="BR64" s="7">
        <f t="shared" si="141"/>
      </c>
      <c r="BS64" s="7">
        <f t="shared" si="142"/>
      </c>
      <c r="BU64" s="7">
        <f t="shared" si="143"/>
      </c>
      <c r="BV64" s="7">
        <f t="shared" si="144"/>
      </c>
      <c r="BW64" s="7">
        <f t="shared" si="145"/>
      </c>
      <c r="BX64" s="7">
        <f t="shared" si="146"/>
      </c>
      <c r="BY64" s="7">
        <f t="shared" si="147"/>
      </c>
      <c r="BZ64" s="7">
        <f t="shared" si="148"/>
      </c>
      <c r="CA64" s="7">
        <f t="shared" si="149"/>
      </c>
      <c r="CB64" s="7">
        <f t="shared" si="150"/>
      </c>
      <c r="CC64" s="7">
        <f t="shared" si="151"/>
      </c>
      <c r="CD64" s="7">
        <f t="shared" si="152"/>
      </c>
      <c r="CF64" s="7">
        <f t="shared" si="153"/>
      </c>
      <c r="CG64" s="7">
        <f t="shared" si="154"/>
      </c>
      <c r="CH64" s="7">
        <f t="shared" si="155"/>
      </c>
      <c r="CI64" s="7">
        <f t="shared" si="156"/>
      </c>
      <c r="CJ64" s="7">
        <f t="shared" si="157"/>
      </c>
      <c r="CK64" s="7">
        <f t="shared" si="158"/>
      </c>
      <c r="CL64" s="7">
        <f t="shared" si="159"/>
      </c>
      <c r="CM64" s="7">
        <f t="shared" si="160"/>
      </c>
      <c r="CN64" s="7">
        <f t="shared" si="161"/>
      </c>
      <c r="CO64" s="7">
        <f t="shared" si="162"/>
      </c>
      <c r="CQ64" s="7">
        <f t="shared" si="163"/>
      </c>
      <c r="CR64" s="7">
        <f t="shared" si="164"/>
      </c>
      <c r="CS64" s="7">
        <f t="shared" si="165"/>
      </c>
      <c r="CT64" s="7">
        <f t="shared" si="166"/>
      </c>
      <c r="CU64" s="7">
        <f t="shared" si="167"/>
      </c>
      <c r="CV64" s="7">
        <f t="shared" si="168"/>
      </c>
      <c r="CW64" s="7">
        <f t="shared" si="169"/>
      </c>
      <c r="CX64" s="7">
        <f t="shared" si="170"/>
      </c>
      <c r="CY64" s="7">
        <f t="shared" si="171"/>
      </c>
      <c r="CZ64" s="7">
        <f t="shared" si="172"/>
      </c>
      <c r="DB64" s="7">
        <f t="shared" si="173"/>
      </c>
      <c r="DC64" s="7">
        <f t="shared" si="174"/>
      </c>
      <c r="DD64" s="7">
        <f t="shared" si="175"/>
      </c>
      <c r="DE64" s="7">
        <f t="shared" si="176"/>
      </c>
      <c r="DF64" s="7">
        <f t="shared" si="177"/>
      </c>
      <c r="DG64" s="7">
        <f t="shared" si="178"/>
      </c>
      <c r="DH64" s="7">
        <f t="shared" si="179"/>
      </c>
      <c r="DI64" s="7">
        <f t="shared" si="180"/>
      </c>
      <c r="DJ64" s="7">
        <f t="shared" si="181"/>
      </c>
      <c r="DK64" s="7">
        <f t="shared" si="182"/>
      </c>
    </row>
    <row r="65" spans="28:115" ht="11.25">
      <c r="AB65" s="12"/>
      <c r="AC65" s="7">
        <f t="shared" si="103"/>
      </c>
      <c r="AD65" s="7">
        <f t="shared" si="104"/>
      </c>
      <c r="AE65" s="7">
        <f t="shared" si="105"/>
      </c>
      <c r="AF65" s="7">
        <f t="shared" si="106"/>
      </c>
      <c r="AG65" s="7">
        <f t="shared" si="107"/>
      </c>
      <c r="AH65" s="7">
        <f t="shared" si="108"/>
      </c>
      <c r="AI65" s="7">
        <f t="shared" si="109"/>
      </c>
      <c r="AJ65" s="7">
        <f t="shared" si="110"/>
      </c>
      <c r="AK65" s="7">
        <f t="shared" si="111"/>
      </c>
      <c r="AL65" s="7">
        <f t="shared" si="112"/>
      </c>
      <c r="AN65" s="7">
        <f t="shared" si="113"/>
      </c>
      <c r="AO65" s="7">
        <f t="shared" si="114"/>
      </c>
      <c r="AP65" s="7">
        <f t="shared" si="115"/>
      </c>
      <c r="AQ65" s="7">
        <f t="shared" si="116"/>
      </c>
      <c r="AR65" s="7">
        <f t="shared" si="117"/>
      </c>
      <c r="AS65" s="7">
        <f t="shared" si="118"/>
      </c>
      <c r="AT65" s="7">
        <f t="shared" si="119"/>
      </c>
      <c r="AU65" s="7">
        <f t="shared" si="120"/>
      </c>
      <c r="AV65" s="7">
        <f t="shared" si="121"/>
      </c>
      <c r="AW65" s="7">
        <f t="shared" si="122"/>
      </c>
      <c r="AY65" s="7">
        <f t="shared" si="123"/>
      </c>
      <c r="AZ65" s="7">
        <f t="shared" si="124"/>
      </c>
      <c r="BA65" s="7">
        <f t="shared" si="125"/>
      </c>
      <c r="BB65" s="7">
        <f t="shared" si="126"/>
      </c>
      <c r="BC65" s="7">
        <f t="shared" si="127"/>
      </c>
      <c r="BD65" s="7">
        <f t="shared" si="128"/>
      </c>
      <c r="BE65" s="7">
        <f t="shared" si="129"/>
      </c>
      <c r="BF65" s="7">
        <f t="shared" si="130"/>
      </c>
      <c r="BG65" s="7">
        <f t="shared" si="131"/>
      </c>
      <c r="BH65" s="7">
        <f t="shared" si="132"/>
      </c>
      <c r="BJ65" s="7">
        <f t="shared" si="133"/>
      </c>
      <c r="BK65" s="7">
        <f t="shared" si="134"/>
      </c>
      <c r="BL65" s="7">
        <f t="shared" si="135"/>
      </c>
      <c r="BM65" s="7">
        <f t="shared" si="136"/>
      </c>
      <c r="BN65" s="7">
        <f t="shared" si="137"/>
      </c>
      <c r="BO65" s="7">
        <f t="shared" si="138"/>
      </c>
      <c r="BP65" s="7">
        <f t="shared" si="139"/>
      </c>
      <c r="BQ65" s="7">
        <f t="shared" si="140"/>
      </c>
      <c r="BR65" s="7">
        <f t="shared" si="141"/>
      </c>
      <c r="BS65" s="7">
        <f t="shared" si="142"/>
      </c>
      <c r="BU65" s="7">
        <f t="shared" si="143"/>
      </c>
      <c r="BV65" s="7">
        <f t="shared" si="144"/>
      </c>
      <c r="BW65" s="7">
        <f t="shared" si="145"/>
      </c>
      <c r="BX65" s="7">
        <f t="shared" si="146"/>
      </c>
      <c r="BY65" s="7">
        <f t="shared" si="147"/>
      </c>
      <c r="BZ65" s="7">
        <f t="shared" si="148"/>
      </c>
      <c r="CA65" s="7">
        <f t="shared" si="149"/>
      </c>
      <c r="CB65" s="7">
        <f t="shared" si="150"/>
      </c>
      <c r="CC65" s="7">
        <f t="shared" si="151"/>
      </c>
      <c r="CD65" s="7">
        <f t="shared" si="152"/>
      </c>
      <c r="CF65" s="7">
        <f t="shared" si="153"/>
      </c>
      <c r="CG65" s="7">
        <f t="shared" si="154"/>
      </c>
      <c r="CH65" s="7">
        <f t="shared" si="155"/>
      </c>
      <c r="CI65" s="7">
        <f t="shared" si="156"/>
      </c>
      <c r="CJ65" s="7">
        <f t="shared" si="157"/>
      </c>
      <c r="CK65" s="7">
        <f t="shared" si="158"/>
      </c>
      <c r="CL65" s="7">
        <f t="shared" si="159"/>
      </c>
      <c r="CM65" s="7">
        <f t="shared" si="160"/>
      </c>
      <c r="CN65" s="7">
        <f t="shared" si="161"/>
      </c>
      <c r="CO65" s="7">
        <f t="shared" si="162"/>
      </c>
      <c r="CQ65" s="7">
        <f t="shared" si="163"/>
      </c>
      <c r="CR65" s="7">
        <f t="shared" si="164"/>
      </c>
      <c r="CS65" s="7">
        <f t="shared" si="165"/>
      </c>
      <c r="CT65" s="7">
        <f t="shared" si="166"/>
      </c>
      <c r="CU65" s="7">
        <f t="shared" si="167"/>
      </c>
      <c r="CV65" s="7">
        <f t="shared" si="168"/>
      </c>
      <c r="CW65" s="7">
        <f t="shared" si="169"/>
      </c>
      <c r="CX65" s="7">
        <f t="shared" si="170"/>
      </c>
      <c r="CY65" s="7">
        <f t="shared" si="171"/>
      </c>
      <c r="CZ65" s="7">
        <f t="shared" si="172"/>
      </c>
      <c r="DB65" s="7">
        <f t="shared" si="173"/>
      </c>
      <c r="DC65" s="7">
        <f t="shared" si="174"/>
      </c>
      <c r="DD65" s="7">
        <f t="shared" si="175"/>
      </c>
      <c r="DE65" s="7">
        <f t="shared" si="176"/>
      </c>
      <c r="DF65" s="7">
        <f t="shared" si="177"/>
      </c>
      <c r="DG65" s="7">
        <f t="shared" si="178"/>
      </c>
      <c r="DH65" s="7">
        <f t="shared" si="179"/>
      </c>
      <c r="DI65" s="7">
        <f t="shared" si="180"/>
      </c>
      <c r="DJ65" s="7">
        <f t="shared" si="181"/>
      </c>
      <c r="DK65" s="7">
        <f t="shared" si="182"/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IU-Sociology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Logit Post Estimation</dc:title>
  <dc:subject/>
  <dc:creator>J. Scott Long and Simon Cheng</dc:creator>
  <cp:keywords/>
  <dc:description/>
  <cp:lastModifiedBy>Simon Cheng</cp:lastModifiedBy>
  <cp:lastPrinted>2000-06-06T21:03:35Z</cp:lastPrinted>
  <dcterms:created xsi:type="dcterms:W3CDTF">1999-06-12T19:41:52Z</dcterms:created>
  <dcterms:modified xsi:type="dcterms:W3CDTF">2002-07-29T06:08:27Z</dcterms:modified>
  <cp:category/>
  <cp:version/>
  <cp:contentType/>
  <cp:contentStatus/>
</cp:coreProperties>
</file>