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6120" windowHeight="7410" activeTab="0"/>
  </bookViews>
  <sheets>
    <sheet name="Input" sheetId="1" r:id="rId1"/>
    <sheet name="Calculator" sheetId="2" r:id="rId2"/>
    <sheet name="Plotter" sheetId="3" r:id="rId3"/>
    <sheet name="Change" sheetId="4" r:id="rId4"/>
    <sheet name="Tech" sheetId="5" state="hidden" r:id="rId5"/>
  </sheets>
  <definedNames>
    <definedName name="b">'Input'!$I$16:$I$65</definedName>
    <definedName name="Bval">'Input'!$Q$16:$Q$65</definedName>
    <definedName name="Bvc1">'Tech'!$C$12</definedName>
    <definedName name="Bvc2">'Tech'!$C$13</definedName>
    <definedName name="Bvc3">'Tech'!$C$14</definedName>
    <definedName name="Bvtoc1">'Tech'!$C$8</definedName>
    <definedName name="Bvtoc2">'Tech'!$C$9</definedName>
    <definedName name="Bvtoc3">'Tech'!$C$10</definedName>
    <definedName name="BVtoP">'Tech'!$F$7</definedName>
    <definedName name="cat1">'Input'!$E$16</definedName>
    <definedName name="cat10">'Input'!$E$25</definedName>
    <definedName name="cat2">'Input'!$E$17</definedName>
    <definedName name="cat3">'Input'!$E$18</definedName>
    <definedName name="cat4">'Input'!$E$19</definedName>
    <definedName name="cat5">'Input'!$E$20</definedName>
    <definedName name="cat6">'Input'!$E$21</definedName>
    <definedName name="cat7">'Input'!$E$22</definedName>
    <definedName name="cat8">'Input'!$E$23</definedName>
    <definedName name="cat9">'Input'!$E$24</definedName>
    <definedName name="ChV">'Calculator'!$E$24:$E$38</definedName>
    <definedName name="Cut1">'Input'!$R$16</definedName>
    <definedName name="cut10">'Input'!$R$25</definedName>
    <definedName name="cut2">'Input'!$R$17</definedName>
    <definedName name="cut3">'Input'!$R$18</definedName>
    <definedName name="cut4">'Input'!$R$19</definedName>
    <definedName name="cut5">'Input'!$R$20</definedName>
    <definedName name="cut6">'Input'!$R$21</definedName>
    <definedName name="cut7">'Input'!$R$22</definedName>
    <definedName name="cut8">'Input'!$R$23</definedName>
    <definedName name="cut9">'Input'!$R$24</definedName>
    <definedName name="Dis">'Tech'!$F$5</definedName>
    <definedName name="EndV">'Plotter'!$D$9</definedName>
    <definedName name="max">'Input'!$N$16:$N$65</definedName>
    <definedName name="min">'Input'!$M$16:$M$65</definedName>
    <definedName name="mn">'Input'!$K$16:$K$65</definedName>
    <definedName name="NmP">'Plotter'!$D$10</definedName>
    <definedName name="PbaseV">'Tech'!$F$6</definedName>
    <definedName name="RHV">'Input'!$H$16:$H$65</definedName>
    <definedName name="Sbase">'Tech'!$C$16</definedName>
    <definedName name="sd">'Input'!$L$16:$L$65</definedName>
    <definedName name="Smax">'Tech'!$C$19</definedName>
    <definedName name="Smean">'Tech'!$C$17</definedName>
    <definedName name="Smin">'Tech'!$C$18</definedName>
    <definedName name="StartV">'Plotter'!$D$8</definedName>
    <definedName name="Sumc">'Tech'!$B$24:$B$38</definedName>
    <definedName name="SumP">'Tech'!$F$16:$F$35</definedName>
    <definedName name="VPth">'Tech'!$F$4</definedName>
    <definedName name="Vtoc1">'Calculator'!$D$26</definedName>
    <definedName name="Vtoc2">'Calculator'!$D$31</definedName>
    <definedName name="Vtoc3">'Calculator'!$D$36</definedName>
    <definedName name="VtoP">'Plotter'!$D$7</definedName>
    <definedName name="vtype">'Input'!$O$16:$O$65</definedName>
    <definedName name="Xval">'Tech'!$E$16:$E$35</definedName>
    <definedName name="z">'Input'!$J$16:$J$65</definedName>
  </definedNames>
  <calcPr fullCalcOnLoad="1"/>
</workbook>
</file>

<file path=xl/comments1.xml><?xml version="1.0" encoding="utf-8"?>
<comments xmlns="http://schemas.openxmlformats.org/spreadsheetml/2006/main">
  <authors>
    <author>Simon Cheng</author>
  </authors>
  <commentList>
    <comment ref="O13" authorId="0">
      <text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C = Cotinuous
 B = Binary
(Case Insensitive)</t>
        </r>
      </text>
    </comment>
    <comment ref="P13" authorId="0">
      <text>
        <r>
          <rPr>
            <sz val="10"/>
            <rFont val="Tahoma"/>
            <family val="2"/>
          </rPr>
          <t>To specify the base values, enter:
 # = any number (e.g., 1.2)
 M = mean
 MIN = minimum
 MAX = maximum
(case insensitive)</t>
        </r>
      </text>
    </comment>
    <comment ref="H15" authorId="0">
      <text>
        <r>
          <rPr>
            <sz val="9"/>
            <rFont val="Tahoma"/>
            <family val="2"/>
          </rPr>
          <t>Due to different  paramet-erizations, either constant or t1 is assumed to be 0.  Leave the cell blank if no constant is estimated.</t>
        </r>
      </text>
    </comment>
    <comment ref="B16" authorId="0">
      <text>
        <r>
          <rPr>
            <sz val="9"/>
            <rFont val="Tahoma"/>
            <family val="2"/>
          </rPr>
          <t>Enter "0" here if the constant cell is NOT blank.</t>
        </r>
      </text>
    </comment>
  </commentList>
</comments>
</file>

<file path=xl/sharedStrings.xml><?xml version="1.0" encoding="utf-8"?>
<sst xmlns="http://schemas.openxmlformats.org/spreadsheetml/2006/main" count="486" uniqueCount="145">
  <si>
    <t>Std</t>
  </si>
  <si>
    <t>Logit</t>
  </si>
  <si>
    <t>Variable</t>
  </si>
  <si>
    <t>Mean</t>
  </si>
  <si>
    <t>Dev</t>
  </si>
  <si>
    <t>Coefs</t>
  </si>
  <si>
    <t>z-value</t>
  </si>
  <si>
    <t>Base</t>
  </si>
  <si>
    <t>Type</t>
  </si>
  <si>
    <t>Minimum</t>
  </si>
  <si>
    <t>Maximum</t>
  </si>
  <si>
    <t>Name</t>
  </si>
  <si>
    <t>Do Not Insert or Remove Rows</t>
  </si>
  <si>
    <t>Min</t>
  </si>
  <si>
    <t>Max</t>
  </si>
  <si>
    <t>Values</t>
  </si>
  <si>
    <t>Calculator</t>
  </si>
  <si>
    <t>Plotter</t>
  </si>
  <si>
    <t>y = 1</t>
  </si>
  <si>
    <t>Dis</t>
  </si>
  <si>
    <t>SumP</t>
  </si>
  <si>
    <t>Value</t>
  </si>
  <si>
    <t>Change</t>
  </si>
  <si>
    <t>Sum(1)</t>
  </si>
  <si>
    <t>Sum(0)</t>
  </si>
  <si>
    <t>Sum(Min)</t>
  </si>
  <si>
    <t>Sum(Max)</t>
  </si>
  <si>
    <t>S(m+s/2)</t>
  </si>
  <si>
    <t>S(m-s/2)</t>
  </si>
  <si>
    <t>0--&gt;1</t>
  </si>
  <si>
    <t>S(-1/2)</t>
  </si>
  <si>
    <t>S(+1/2)</t>
  </si>
  <si>
    <t>Marginal</t>
  </si>
  <si>
    <t>D s</t>
  </si>
  <si>
    <r>
      <t>D</t>
    </r>
    <r>
      <rPr>
        <i/>
        <sz val="8"/>
        <rFont val="Arial"/>
        <family val="0"/>
      </rPr>
      <t xml:space="preserve"> Range</t>
    </r>
  </si>
  <si>
    <r>
      <t>D</t>
    </r>
    <r>
      <rPr>
        <i/>
        <sz val="8"/>
        <rFont val="Arial"/>
        <family val="0"/>
      </rPr>
      <t xml:space="preserve"> 1</t>
    </r>
  </si>
  <si>
    <t>---</t>
  </si>
  <si>
    <t xml:space="preserve">    1.  Enter all of your information in the light green cells, such as this: </t>
  </si>
  <si>
    <t>Notes</t>
  </si>
  <si>
    <t>Basic Predicted Probability</t>
  </si>
  <si>
    <t xml:space="preserve">With other variables held at their base values, </t>
  </si>
  <si>
    <t>vary the following variables and calculate the predicted probabilities at the specified values.</t>
  </si>
  <si>
    <t>Predicted Probability</t>
  </si>
  <si>
    <t>1.</t>
  </si>
  <si>
    <t>white</t>
  </si>
  <si>
    <t>2.</t>
  </si>
  <si>
    <t>3.</t>
  </si>
  <si>
    <t>Vars</t>
  </si>
  <si>
    <t>Table 2.  Base Values</t>
  </si>
  <si>
    <t xml:space="preserve">   With other variable at the base, vary this variable.</t>
  </si>
  <si>
    <t xml:space="preserve">   Enter the start value for the x-axis.</t>
  </si>
  <si>
    <t xml:space="preserve">   Enter end value for the x-axis.</t>
  </si>
  <si>
    <t xml:space="preserve">   2 to 20 points allowed</t>
  </si>
  <si>
    <t>x-value</t>
  </si>
  <si>
    <r>
      <t xml:space="preserve">Average </t>
    </r>
    <r>
      <rPr>
        <i/>
        <sz val="10"/>
        <rFont val="Symbol"/>
        <family val="1"/>
      </rPr>
      <t>D</t>
    </r>
  </si>
  <si>
    <r>
      <t>t</t>
    </r>
    <r>
      <rPr>
        <vertAlign val="subscript"/>
        <sz val="10"/>
        <rFont val="Symbol"/>
        <family val="1"/>
      </rPr>
      <t>1</t>
    </r>
  </si>
  <si>
    <r>
      <t>t</t>
    </r>
    <r>
      <rPr>
        <vertAlign val="subscript"/>
        <sz val="10"/>
        <rFont val="Symbol"/>
        <family val="1"/>
      </rPr>
      <t>2</t>
    </r>
  </si>
  <si>
    <r>
      <t>t</t>
    </r>
    <r>
      <rPr>
        <vertAlign val="subscript"/>
        <sz val="10"/>
        <rFont val="Symbol"/>
        <family val="1"/>
      </rPr>
      <t>3</t>
    </r>
  </si>
  <si>
    <r>
      <t>t</t>
    </r>
    <r>
      <rPr>
        <vertAlign val="subscript"/>
        <sz val="10"/>
        <rFont val="Symbol"/>
        <family val="1"/>
      </rPr>
      <t>4</t>
    </r>
  </si>
  <si>
    <r>
      <t>t</t>
    </r>
    <r>
      <rPr>
        <vertAlign val="subscript"/>
        <sz val="10"/>
        <rFont val="Symbol"/>
        <family val="1"/>
      </rPr>
      <t>5</t>
    </r>
  </si>
  <si>
    <r>
      <t>t</t>
    </r>
    <r>
      <rPr>
        <vertAlign val="subscript"/>
        <sz val="10"/>
        <rFont val="Symbol"/>
        <family val="1"/>
      </rPr>
      <t>6</t>
    </r>
  </si>
  <si>
    <r>
      <t>t</t>
    </r>
    <r>
      <rPr>
        <vertAlign val="subscript"/>
        <sz val="10"/>
        <rFont val="Symbol"/>
        <family val="1"/>
      </rPr>
      <t>7</t>
    </r>
  </si>
  <si>
    <r>
      <t>t</t>
    </r>
    <r>
      <rPr>
        <vertAlign val="subscript"/>
        <sz val="10"/>
        <rFont val="Symbol"/>
        <family val="1"/>
      </rPr>
      <t>8</t>
    </r>
  </si>
  <si>
    <r>
      <t>t</t>
    </r>
    <r>
      <rPr>
        <vertAlign val="subscript"/>
        <sz val="10"/>
        <rFont val="Symbol"/>
        <family val="1"/>
      </rPr>
      <t>9</t>
    </r>
  </si>
  <si>
    <r>
      <t>t</t>
    </r>
    <r>
      <rPr>
        <vertAlign val="subscript"/>
        <sz val="10"/>
        <rFont val="Symbol"/>
        <family val="1"/>
      </rPr>
      <t>10</t>
    </r>
  </si>
  <si>
    <t>WARM</t>
  </si>
  <si>
    <t>YR89</t>
  </si>
  <si>
    <t>MALE</t>
  </si>
  <si>
    <t>WHITE</t>
  </si>
  <si>
    <t>AGE</t>
  </si>
  <si>
    <t>ED</t>
  </si>
  <si>
    <t>PRST</t>
  </si>
  <si>
    <t>SD</t>
  </si>
  <si>
    <t>DA</t>
  </si>
  <si>
    <t>AG</t>
  </si>
  <si>
    <t>SA</t>
  </si>
  <si>
    <t>age</t>
  </si>
  <si>
    <t>Sbase</t>
  </si>
  <si>
    <t>Smean</t>
  </si>
  <si>
    <t>Smin</t>
  </si>
  <si>
    <t>Smax</t>
  </si>
  <si>
    <t>cc1th</t>
  </si>
  <si>
    <t>cc2th</t>
  </si>
  <si>
    <t>cc3th</t>
  </si>
  <si>
    <t>Bvtoc1</t>
  </si>
  <si>
    <t>Bvtoc2</t>
  </si>
  <si>
    <t>Bvtoc3</t>
  </si>
  <si>
    <t>Bvc2</t>
  </si>
  <si>
    <t>Bvc1</t>
  </si>
  <si>
    <t>Bvc3</t>
  </si>
  <si>
    <t>Sumc</t>
  </si>
  <si>
    <t>VPth</t>
  </si>
  <si>
    <t>PbaseV</t>
  </si>
  <si>
    <t>BVtoP</t>
  </si>
  <si>
    <t>Xval</t>
  </si>
  <si>
    <t>Figure 1.  Predicted Probabilities</t>
  </si>
  <si>
    <t>Figure 2.  Cumulative Probabilities</t>
  </si>
  <si>
    <t>yr89</t>
  </si>
  <si>
    <t>male</t>
  </si>
  <si>
    <r>
      <t xml:space="preserve">    2.  Press  &lt;</t>
    </r>
    <r>
      <rPr>
        <b/>
        <i/>
        <sz val="10"/>
        <color indexed="8"/>
        <rFont val="Arial"/>
        <family val="2"/>
      </rPr>
      <t>Ctrl+Shift+p</t>
    </r>
    <r>
      <rPr>
        <sz val="10"/>
        <color indexed="8"/>
        <rFont val="Arial"/>
        <family val="2"/>
      </rPr>
      <t>&gt; to see the XPost pull-down menu (</t>
    </r>
    <r>
      <rPr>
        <i/>
        <sz val="10"/>
        <color indexed="8"/>
        <rFont val="Arial"/>
        <family val="2"/>
      </rPr>
      <t>Optional</t>
    </r>
    <r>
      <rPr>
        <sz val="10"/>
        <color indexed="8"/>
        <rFont val="Arial"/>
        <family val="2"/>
      </rPr>
      <t>).</t>
    </r>
  </si>
  <si>
    <t>Do not add or delete any rows or columns.</t>
  </si>
  <si>
    <t>Ordered Logit</t>
  </si>
  <si>
    <r>
      <t xml:space="preserve">Table 1.  Descriptive Statistics for Y - </t>
    </r>
    <r>
      <rPr>
        <i/>
        <sz val="10"/>
        <rFont val="Arial"/>
        <family val="2"/>
      </rPr>
      <t>optional</t>
    </r>
    <r>
      <rPr>
        <b/>
        <sz val="10"/>
        <rFont val="Arial"/>
        <family val="2"/>
      </rPr>
      <t xml:space="preserve"> -</t>
    </r>
  </si>
  <si>
    <t>B</t>
  </si>
  <si>
    <t>C</t>
  </si>
  <si>
    <t>M</t>
  </si>
  <si>
    <t xml:space="preserve">Enter all of your information in the light green cells, such as this: </t>
  </si>
  <si>
    <t>computed at these values with other values equal to the base values in Table 2.</t>
  </si>
  <si>
    <t>All Variables</t>
  </si>
  <si>
    <t>Held at</t>
  </si>
  <si>
    <t>.</t>
  </si>
  <si>
    <t>Table 1. Specification of x-variable.</t>
  </si>
  <si>
    <t xml:space="preserve">  X-variable to vary</t>
  </si>
  <si>
    <t xml:space="preserve">  Start Value </t>
  </si>
  <si>
    <t xml:space="preserve">  End Value</t>
  </si>
  <si>
    <t xml:space="preserve">  # of Points</t>
  </si>
  <si>
    <t xml:space="preserve">    2.  Enter information in Table 1 about your graph. Note you can edit the graph as with any Excel chart.</t>
  </si>
  <si>
    <t>Variables</t>
  </si>
  <si>
    <t>Table 3.  Sources of Plot</t>
  </si>
  <si>
    <t xml:space="preserve">     1.</t>
  </si>
  <si>
    <t xml:space="preserve">     2.</t>
  </si>
  <si>
    <t xml:space="preserve">    3.  For statistical interpretations of the ordered logit model, see Long (1996: 114-47).</t>
  </si>
  <si>
    <t>Predicted probabilities are given for the base values shown in Table 2. These values can only be changed on the Input sheet.</t>
  </si>
  <si>
    <t>In the green cells you can choose three variables and specify up to five values for each variable.  Predicted probabilities are</t>
  </si>
  <si>
    <t>Table 1.  Predicted and Cumulative Probabilities</t>
  </si>
  <si>
    <t>Cumulative Probability for Categories less than or Equal to a Given Category</t>
  </si>
  <si>
    <t>There is nothing you can change on this sheet.</t>
  </si>
  <si>
    <t>Table 3.  Model Estimates, Descriptive Statistics, Variable Types, and Base Values</t>
  </si>
  <si>
    <t>Constant</t>
  </si>
  <si>
    <t xml:space="preserve">           Cut   Points</t>
  </si>
  <si>
    <t>Table 1.  Factor Change</t>
  </si>
  <si>
    <t>Factor</t>
  </si>
  <si>
    <t>Std Factor</t>
  </si>
  <si>
    <t>Coef.</t>
  </si>
  <si>
    <t>Table 3.  Base Values</t>
  </si>
  <si>
    <t>Table 2.  Discrete Change</t>
  </si>
  <si>
    <t>This page computes factor change and discrete change using the base values specified on the Input sheet; these values</t>
  </si>
  <si>
    <t xml:space="preserve"> are shown on Table 3 to the right, but can only be changed on the Input sheet.  </t>
  </si>
  <si>
    <t xml:space="preserve">Z  </t>
  </si>
  <si>
    <t>Factor and Discrete Changes</t>
  </si>
  <si>
    <t>Table 2.  Cutpoints &amp; Category Names</t>
  </si>
  <si>
    <t xml:space="preserve">   Category Names</t>
  </si>
  <si>
    <t xml:space="preserve">       Dependent</t>
  </si>
  <si>
    <t xml:space="preserve">Factor change indicates the factor change of being in higher categories versus lower categories. </t>
  </si>
  <si>
    <t xml:space="preserve">     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</si>
</sst>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"/>
  </numFmts>
  <fonts count="43">
    <font>
      <sz val="10"/>
      <name val="Arial"/>
      <family val="0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5"/>
      <name val="Arial"/>
      <family val="0"/>
    </font>
    <font>
      <sz val="17.25"/>
      <name val="Arial"/>
      <family val="0"/>
    </font>
    <font>
      <sz val="11.75"/>
      <name val="Times New Roman"/>
      <family val="1"/>
    </font>
    <font>
      <sz val="12"/>
      <name val="Arial"/>
      <family val="2"/>
    </font>
    <font>
      <b/>
      <sz val="10.25"/>
      <name val="Arial"/>
      <family val="2"/>
    </font>
    <font>
      <i/>
      <sz val="8"/>
      <name val="Arial"/>
      <family val="0"/>
    </font>
    <font>
      <i/>
      <sz val="8"/>
      <name val="Symbol"/>
      <family val="1"/>
    </font>
    <font>
      <u val="single"/>
      <sz val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9"/>
      <color indexed="1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i/>
      <sz val="10"/>
      <name val="Symbol"/>
      <family val="1"/>
    </font>
    <font>
      <sz val="10"/>
      <color indexed="9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sz val="8"/>
      <color indexed="19"/>
      <name val="Arial"/>
      <family val="2"/>
    </font>
    <font>
      <sz val="9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2" fontId="6" fillId="0" borderId="0" xfId="0" applyNumberFormat="1" applyFont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6" fillId="0" borderId="1" xfId="0" applyNumberFormat="1" applyFont="1" applyBorder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6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2" fontId="3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2" fontId="6" fillId="0" borderId="2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2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 quotePrefix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25" fillId="0" borderId="1" xfId="0" applyFont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 quotePrefix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66" fontId="5" fillId="0" borderId="19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66" fontId="5" fillId="0" borderId="2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166" fontId="5" fillId="0" borderId="22" xfId="0" applyNumberFormat="1" applyFont="1" applyBorder="1" applyAlignment="1" applyProtection="1">
      <alignment/>
      <protection locked="0"/>
    </xf>
    <xf numFmtId="166" fontId="5" fillId="0" borderId="1" xfId="0" applyNumberFormat="1" applyFont="1" applyBorder="1" applyAlignment="1" applyProtection="1">
      <alignment/>
      <protection locked="0"/>
    </xf>
    <xf numFmtId="166" fontId="5" fillId="0" borderId="23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 quotePrefix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2" fontId="5" fillId="0" borderId="1" xfId="0" applyNumberFormat="1" applyFont="1" applyBorder="1" applyAlignment="1" applyProtection="1">
      <alignment/>
      <protection locked="0"/>
    </xf>
    <xf numFmtId="166" fontId="5" fillId="0" borderId="1" xfId="0" applyNumberFormat="1" applyFont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6" fontId="34" fillId="0" borderId="0" xfId="0" applyNumberFormat="1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 quotePrefix="1">
      <alignment horizontal="right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 quotePrefix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66" fontId="2" fillId="2" borderId="0" xfId="0" applyNumberFormat="1" applyFont="1" applyFill="1" applyBorder="1" applyAlignment="1" applyProtection="1">
      <alignment horizontal="right"/>
      <protection locked="0"/>
    </xf>
    <xf numFmtId="2" fontId="2" fillId="2" borderId="0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 locked="0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3" xfId="0" applyNumberFormat="1" applyFont="1" applyBorder="1" applyAlignment="1" applyProtection="1">
      <alignment horizontal="right"/>
      <protection locked="0"/>
    </xf>
    <xf numFmtId="166" fontId="5" fillId="0" borderId="18" xfId="0" applyNumberFormat="1" applyFont="1" applyBorder="1" applyAlignment="1" applyProtection="1">
      <alignment horizontal="right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166" fontId="5" fillId="0" borderId="10" xfId="0" applyNumberFormat="1" applyFont="1" applyBorder="1" applyAlignment="1" applyProtection="1">
      <alignment horizontal="right"/>
      <protection locked="0"/>
    </xf>
    <xf numFmtId="166" fontId="5" fillId="0" borderId="9" xfId="0" applyNumberFormat="1" applyFont="1" applyBorder="1" applyAlignment="1" applyProtection="1">
      <alignment horizontal="right"/>
      <protection locked="0"/>
    </xf>
    <xf numFmtId="166" fontId="5" fillId="0" borderId="42" xfId="0" applyNumberFormat="1" applyFont="1" applyBorder="1" applyAlignment="1" applyProtection="1">
      <alignment horizontal="right"/>
      <protection locked="0"/>
    </xf>
    <xf numFmtId="166" fontId="5" fillId="0" borderId="11" xfId="0" applyNumberFormat="1" applyFont="1" applyBorder="1" applyAlignment="1" applyProtection="1">
      <alignment horizontal="right"/>
      <protection locked="0"/>
    </xf>
    <xf numFmtId="166" fontId="5" fillId="0" borderId="1" xfId="0" applyNumberFormat="1" applyFont="1" applyBorder="1" applyAlignment="1" applyProtection="1">
      <alignment horizontal="right"/>
      <protection locked="0"/>
    </xf>
    <xf numFmtId="166" fontId="5" fillId="0" borderId="23" xfId="0" applyNumberFormat="1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22" fillId="3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 quotePrefix="1">
      <alignment horizontal="center"/>
      <protection locked="0"/>
    </xf>
    <xf numFmtId="0" fontId="23" fillId="0" borderId="0" xfId="0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 applyProtection="1" quotePrefix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166" fontId="2" fillId="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4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 quotePrefix="1">
      <alignment horizontal="right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right"/>
      <protection/>
    </xf>
    <xf numFmtId="0" fontId="11" fillId="0" borderId="1" xfId="0" applyFont="1" applyBorder="1" applyAlignment="1" applyProtection="1">
      <alignment horizontal="center"/>
      <protection/>
    </xf>
    <xf numFmtId="0" fontId="22" fillId="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0" borderId="0" xfId="0" applyFont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7" fillId="0" borderId="38" xfId="0" applyFont="1" applyFill="1" applyBorder="1" applyAlignment="1" applyProtection="1">
      <alignment horizontal="left"/>
      <protection/>
    </xf>
    <xf numFmtId="0" fontId="0" fillId="0" borderId="50" xfId="0" applyBorder="1" applyAlignment="1" applyProtection="1">
      <alignment horizontal="right"/>
      <protection/>
    </xf>
    <xf numFmtId="0" fontId="23" fillId="0" borderId="5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right"/>
      <protection/>
    </xf>
    <xf numFmtId="0" fontId="39" fillId="0" borderId="1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.0935"/>
          <c:w val="0.844"/>
          <c:h val="0.7925"/>
        </c:manualLayout>
      </c:layout>
      <c:lineChart>
        <c:grouping val="standard"/>
        <c:varyColors val="0"/>
        <c:ser>
          <c:idx val="1"/>
          <c:order val="0"/>
          <c:tx>
            <c:strRef>
              <c:f>Plotter!$Z$14</c:f>
              <c:strCache>
                <c:ptCount val="1"/>
                <c:pt idx="0">
                  <c:v>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Plotter!$Z$16:$Z$25</c:f>
              <c:numCache>
                <c:ptCount val="10"/>
                <c:pt idx="0">
                  <c:v>0.05613148428170164</c:v>
                </c:pt>
                <c:pt idx="1">
                  <c:v>0.06442718339454732</c:v>
                </c:pt>
                <c:pt idx="2">
                  <c:v>0.07385297754088081</c:v>
                </c:pt>
                <c:pt idx="3">
                  <c:v>0.08453318007383974</c:v>
                </c:pt>
                <c:pt idx="4">
                  <c:v>0.09659680154278338</c:v>
                </c:pt>
                <c:pt idx="5">
                  <c:v>0.11017481733700715</c:v>
                </c:pt>
                <c:pt idx="6">
                  <c:v>0.1253964916294564</c:v>
                </c:pt>
                <c:pt idx="7">
                  <c:v>0.1423846692186741</c:v>
                </c:pt>
                <c:pt idx="8">
                  <c:v>0.16125000891873428</c:v>
                </c:pt>
                <c:pt idx="9">
                  <c:v>0.1820842267870036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Plotter!$AA$14</c:f>
              <c:strCache>
                <c:ptCount val="1"/>
                <c:pt idx="0">
                  <c:v>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Plotter!$AA$16:$AA$25</c:f>
              <c:numCache>
                <c:ptCount val="10"/>
                <c:pt idx="0">
                  <c:v>0.21511848266928404</c:v>
                </c:pt>
                <c:pt idx="1">
                  <c:v>0.23676581802929203</c:v>
                </c:pt>
                <c:pt idx="2">
                  <c:v>0.2590783691099729</c:v>
                </c:pt>
                <c:pt idx="3">
                  <c:v>0.28172805290883457</c:v>
                </c:pt>
                <c:pt idx="4">
                  <c:v>0.30432557762601126</c:v>
                </c:pt>
                <c:pt idx="5">
                  <c:v>0.32642905554519464</c:v>
                </c:pt>
                <c:pt idx="6">
                  <c:v>0.3475574333613016</c:v>
                </c:pt>
                <c:pt idx="7">
                  <c:v>0.3672083201224786</c:v>
                </c:pt>
                <c:pt idx="8">
                  <c:v>0.38487927327238514</c:v>
                </c:pt>
                <c:pt idx="9">
                  <c:v>0.4000911611329124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Plotter!$AB$14</c:f>
              <c:strCache>
                <c:ptCount val="1"/>
                <c:pt idx="0">
                  <c:v>AG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Plotter!$AB$16:$AB$25</c:f>
              <c:numCache>
                <c:ptCount val="10"/>
                <c:pt idx="0">
                  <c:v>0.4406664796054678</c:v>
                </c:pt>
                <c:pt idx="1">
                  <c:v>0.43984616790644454</c:v>
                </c:pt>
                <c:pt idx="2">
                  <c:v>0.4352451738550009</c:v>
                </c:pt>
                <c:pt idx="3">
                  <c:v>0.4270021992223888</c:v>
                </c:pt>
                <c:pt idx="4">
                  <c:v>0.41536243363656616</c:v>
                </c:pt>
                <c:pt idx="5">
                  <c:v>0.4006646447087135</c:v>
                </c:pt>
                <c:pt idx="6">
                  <c:v>0.3833235566944585</c:v>
                </c:pt>
                <c:pt idx="7">
                  <c:v>0.3638087284277053</c:v>
                </c:pt>
                <c:pt idx="8">
                  <c:v>0.34262143693928593</c:v>
                </c:pt>
                <c:pt idx="9">
                  <c:v>0.32027124737412727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Plotter!$AC$14</c:f>
              <c:strCache>
                <c:ptCount val="1"/>
                <c:pt idx="0">
                  <c:v>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Plotter!$AC$16:$AC$25</c:f>
              <c:numCache>
                <c:ptCount val="10"/>
                <c:pt idx="0">
                  <c:v>0.2880835534435465</c:v>
                </c:pt>
                <c:pt idx="1">
                  <c:v>0.2589608306697161</c:v>
                </c:pt>
                <c:pt idx="2">
                  <c:v>0.2318234794941454</c:v>
                </c:pt>
                <c:pt idx="3">
                  <c:v>0.20673656779493688</c:v>
                </c:pt>
                <c:pt idx="4">
                  <c:v>0.1837151871946392</c:v>
                </c:pt>
                <c:pt idx="5">
                  <c:v>0.16273148240908475</c:v>
                </c:pt>
                <c:pt idx="6">
                  <c:v>0.14372251831478344</c:v>
                </c:pt>
                <c:pt idx="7">
                  <c:v>0.126598282231142</c:v>
                </c:pt>
                <c:pt idx="8">
                  <c:v>0.11124928086959462</c:v>
                </c:pt>
                <c:pt idx="9">
                  <c:v>0.09755336470595677</c:v>
                </c:pt>
              </c:numCache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323095"/>
        <c:crosses val="autoZero"/>
        <c:auto val="0"/>
        <c:lblOffset val="100"/>
        <c:tickLblSkip val="3"/>
        <c:noMultiLvlLbl val="0"/>
      </c:cat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Predicted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2566"/>
        <c:crossesAt val="1"/>
        <c:crossBetween val="between"/>
        <c:dispUnits/>
      </c:valAx>
      <c:spPr>
        <a:noFill/>
        <a:ln w="12700">
          <a:solidFill>
            <a:srgbClr val="333333"/>
          </a:solidFill>
        </a:ln>
      </c:spPr>
    </c:plotArea>
    <c:legend>
      <c:legendPos val="t"/>
      <c:layout>
        <c:manualLayout>
          <c:xMode val="edge"/>
          <c:yMode val="edge"/>
          <c:x val="0.27425"/>
          <c:y val="0.005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095"/>
          <c:w val="0.843"/>
          <c:h val="0.7845"/>
        </c:manualLayout>
      </c:layout>
      <c:lineChart>
        <c:grouping val="percentStacked"/>
        <c:varyColors val="0"/>
        <c:ser>
          <c:idx val="0"/>
          <c:order val="0"/>
          <c:tx>
            <c:strRef>
              <c:f>Plotter!$Z$14</c:f>
              <c:strCache>
                <c:ptCount val="1"/>
                <c:pt idx="0">
                  <c:v>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Plotter!$Z$16:$Z$25</c:f>
              <c:numCache>
                <c:ptCount val="10"/>
                <c:pt idx="0">
                  <c:v>0.05613148428170164</c:v>
                </c:pt>
                <c:pt idx="1">
                  <c:v>0.06442718339454732</c:v>
                </c:pt>
                <c:pt idx="2">
                  <c:v>0.07385297754088081</c:v>
                </c:pt>
                <c:pt idx="3">
                  <c:v>0.08453318007383974</c:v>
                </c:pt>
                <c:pt idx="4">
                  <c:v>0.09659680154278338</c:v>
                </c:pt>
                <c:pt idx="5">
                  <c:v>0.11017481733700715</c:v>
                </c:pt>
                <c:pt idx="6">
                  <c:v>0.1253964916294564</c:v>
                </c:pt>
                <c:pt idx="7">
                  <c:v>0.1423846692186741</c:v>
                </c:pt>
                <c:pt idx="8">
                  <c:v>0.16125000891873428</c:v>
                </c:pt>
                <c:pt idx="9">
                  <c:v>0.1820842267870036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Plotter!$AA$14</c:f>
              <c:strCache>
                <c:ptCount val="1"/>
                <c:pt idx="0">
                  <c:v>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Plotter!$AA$16:$AA$25</c:f>
              <c:numCache>
                <c:ptCount val="10"/>
                <c:pt idx="0">
                  <c:v>0.21511848266928404</c:v>
                </c:pt>
                <c:pt idx="1">
                  <c:v>0.23676581802929203</c:v>
                </c:pt>
                <c:pt idx="2">
                  <c:v>0.2590783691099729</c:v>
                </c:pt>
                <c:pt idx="3">
                  <c:v>0.28172805290883457</c:v>
                </c:pt>
                <c:pt idx="4">
                  <c:v>0.30432557762601126</c:v>
                </c:pt>
                <c:pt idx="5">
                  <c:v>0.32642905554519464</c:v>
                </c:pt>
                <c:pt idx="6">
                  <c:v>0.3475574333613016</c:v>
                </c:pt>
                <c:pt idx="7">
                  <c:v>0.3672083201224786</c:v>
                </c:pt>
                <c:pt idx="8">
                  <c:v>0.38487927327238514</c:v>
                </c:pt>
                <c:pt idx="9">
                  <c:v>0.4000911611329124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Plotter!$AB$14</c:f>
              <c:strCache>
                <c:ptCount val="1"/>
                <c:pt idx="0">
                  <c:v>AG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Plotter!$AB$16:$AB$25</c:f>
              <c:numCache>
                <c:ptCount val="10"/>
                <c:pt idx="0">
                  <c:v>0.4406664796054678</c:v>
                </c:pt>
                <c:pt idx="1">
                  <c:v>0.43984616790644454</c:v>
                </c:pt>
                <c:pt idx="2">
                  <c:v>0.4352451738550009</c:v>
                </c:pt>
                <c:pt idx="3">
                  <c:v>0.4270021992223888</c:v>
                </c:pt>
                <c:pt idx="4">
                  <c:v>0.41536243363656616</c:v>
                </c:pt>
                <c:pt idx="5">
                  <c:v>0.4006646447087135</c:v>
                </c:pt>
                <c:pt idx="6">
                  <c:v>0.3833235566944585</c:v>
                </c:pt>
                <c:pt idx="7">
                  <c:v>0.3638087284277053</c:v>
                </c:pt>
                <c:pt idx="8">
                  <c:v>0.34262143693928593</c:v>
                </c:pt>
                <c:pt idx="9">
                  <c:v>0.32027124737412727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Plotter!$AC$14</c:f>
              <c:strCache>
                <c:ptCount val="1"/>
                <c:pt idx="0">
                  <c:v>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Plotter!$AC$16:$AC$25</c:f>
              <c:numCache>
                <c:ptCount val="10"/>
                <c:pt idx="0">
                  <c:v>0.2880835534435465</c:v>
                </c:pt>
                <c:pt idx="1">
                  <c:v>0.2589608306697161</c:v>
                </c:pt>
                <c:pt idx="2">
                  <c:v>0.2318234794941454</c:v>
                </c:pt>
                <c:pt idx="3">
                  <c:v>0.20673656779493688</c:v>
                </c:pt>
                <c:pt idx="4">
                  <c:v>0.1837151871946392</c:v>
                </c:pt>
                <c:pt idx="5">
                  <c:v>0.16273148240908475</c:v>
                </c:pt>
                <c:pt idx="6">
                  <c:v>0.14372251831478344</c:v>
                </c:pt>
                <c:pt idx="7">
                  <c:v>0.126598282231142</c:v>
                </c:pt>
                <c:pt idx="8">
                  <c:v>0.11124928086959462</c:v>
                </c:pt>
                <c:pt idx="9">
                  <c:v>0.09755336470595677</c:v>
                </c:pt>
              </c:numCache>
            </c:numRef>
          </c:val>
          <c:smooth val="0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11153"/>
        <c:crosses val="autoZero"/>
        <c:auto val="1"/>
        <c:lblOffset val="100"/>
        <c:tickLblSkip val="3"/>
        <c:noMultiLvlLbl val="0"/>
      </c:cat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0128"/>
        <c:crossesAt val="1"/>
        <c:crossBetween val="between"/>
        <c:dispUnits/>
      </c:valAx>
      <c:spPr>
        <a:noFill/>
        <a:ln w="12700">
          <a:solidFill>
            <a:srgbClr val="333333"/>
          </a:solidFill>
        </a:ln>
      </c:spPr>
    </c:plotArea>
    <c:legend>
      <c:legendPos val="t"/>
      <c:layout>
        <c:manualLayout>
          <c:xMode val="edge"/>
          <c:yMode val="edge"/>
          <c:x val="0.35375"/>
          <c:y val="0.005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9</xdr:col>
      <xdr:colOff>581025</xdr:colOff>
      <xdr:row>34</xdr:row>
      <xdr:rowOff>152400</xdr:rowOff>
    </xdr:to>
    <xdr:graphicFrame>
      <xdr:nvGraphicFramePr>
        <xdr:cNvPr id="1" name="Chart 12"/>
        <xdr:cNvGraphicFramePr/>
      </xdr:nvGraphicFramePr>
      <xdr:xfrm>
        <a:off x="180975" y="2609850"/>
        <a:ext cx="5448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12</xdr:row>
      <xdr:rowOff>0</xdr:rowOff>
    </xdr:from>
    <xdr:to>
      <xdr:col>19</xdr:col>
      <xdr:colOff>590550</xdr:colOff>
      <xdr:row>34</xdr:row>
      <xdr:rowOff>142875</xdr:rowOff>
    </xdr:to>
    <xdr:graphicFrame>
      <xdr:nvGraphicFramePr>
        <xdr:cNvPr id="2" name="Chart 13"/>
        <xdr:cNvGraphicFramePr/>
      </xdr:nvGraphicFramePr>
      <xdr:xfrm>
        <a:off x="6276975" y="2600325"/>
        <a:ext cx="54578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5"/>
  <sheetViews>
    <sheetView showGridLines="0" tabSelected="1" zoomScale="95" zoomScaleNormal="95" workbookViewId="0" topLeftCell="A1">
      <selection activeCell="B9" sqref="B9"/>
    </sheetView>
  </sheetViews>
  <sheetFormatPr defaultColWidth="9.140625" defaultRowHeight="12.75"/>
  <cols>
    <col min="1" max="1" width="2.57421875" style="19" customWidth="1"/>
    <col min="2" max="2" width="13.28125" style="19" customWidth="1"/>
    <col min="3" max="5" width="9.140625" style="19" customWidth="1"/>
    <col min="6" max="6" width="0" style="19" hidden="1" customWidth="1"/>
    <col min="7" max="13" width="9.140625" style="19" customWidth="1"/>
    <col min="14" max="14" width="9.140625" style="67" customWidth="1"/>
    <col min="15" max="16" width="9.140625" style="19" customWidth="1"/>
    <col min="17" max="18" width="0" style="19" hidden="1" customWidth="1"/>
    <col min="19" max="16384" width="9.140625" style="19" customWidth="1"/>
  </cols>
  <sheetData>
    <row r="1" spans="2:17" ht="21.75" customHeight="1">
      <c r="B1" s="220" t="s">
        <v>101</v>
      </c>
      <c r="C1" s="221"/>
      <c r="D1" s="221"/>
      <c r="E1" s="222"/>
      <c r="G1" s="223" t="s">
        <v>100</v>
      </c>
      <c r="H1" s="221"/>
      <c r="I1" s="221"/>
      <c r="J1" s="221"/>
      <c r="K1" s="205"/>
      <c r="L1" s="205"/>
      <c r="M1" s="63"/>
      <c r="N1" s="63"/>
      <c r="O1" s="63"/>
      <c r="P1" s="63"/>
      <c r="Q1" s="20"/>
    </row>
    <row r="2" spans="2:17" ht="18" customHeight="1">
      <c r="B2" s="225" t="s">
        <v>38</v>
      </c>
      <c r="C2" s="226"/>
      <c r="D2" s="226"/>
      <c r="E2" s="226"/>
      <c r="F2" s="226"/>
      <c r="G2" s="226"/>
      <c r="H2" s="221"/>
      <c r="I2" s="227"/>
      <c r="J2" s="226"/>
      <c r="K2" s="205"/>
      <c r="L2" s="63"/>
      <c r="M2" s="205"/>
      <c r="N2" s="63"/>
      <c r="O2" s="205"/>
      <c r="P2" s="205"/>
      <c r="Q2" s="20"/>
    </row>
    <row r="3" spans="2:17" ht="15" customHeight="1">
      <c r="B3" s="228" t="s">
        <v>37</v>
      </c>
      <c r="C3" s="229"/>
      <c r="D3" s="230"/>
      <c r="E3" s="231"/>
      <c r="F3" s="229"/>
      <c r="G3" s="229"/>
      <c r="H3" s="232"/>
      <c r="J3" s="233"/>
      <c r="K3" s="205"/>
      <c r="L3" s="205"/>
      <c r="M3" s="205"/>
      <c r="N3" s="63"/>
      <c r="O3" s="205"/>
      <c r="P3" s="205"/>
      <c r="Q3" s="20"/>
    </row>
    <row r="4" spans="2:16" ht="15" customHeight="1">
      <c r="B4" s="234" t="s">
        <v>99</v>
      </c>
      <c r="C4" s="229"/>
      <c r="D4" s="230"/>
      <c r="E4" s="231"/>
      <c r="F4" s="229"/>
      <c r="G4" s="229"/>
      <c r="H4" s="232"/>
      <c r="I4" s="232"/>
      <c r="J4" s="232"/>
      <c r="K4" s="205"/>
      <c r="L4" s="205"/>
      <c r="M4" s="205"/>
      <c r="N4" s="63"/>
      <c r="O4" s="205"/>
      <c r="P4" s="205"/>
    </row>
    <row r="5" spans="2:16" ht="15" customHeight="1">
      <c r="B5" s="235" t="s">
        <v>121</v>
      </c>
      <c r="C5" s="229"/>
      <c r="D5" s="230"/>
      <c r="E5" s="231"/>
      <c r="F5" s="229"/>
      <c r="G5" s="229"/>
      <c r="H5" s="232"/>
      <c r="I5" s="232"/>
      <c r="J5" s="232"/>
      <c r="K5" s="20"/>
      <c r="L5" s="205"/>
      <c r="M5" s="205"/>
      <c r="N5" s="205"/>
      <c r="O5" s="63"/>
      <c r="P5" s="63"/>
    </row>
    <row r="6" spans="1:17" ht="15" customHeight="1">
      <c r="A6" s="27"/>
      <c r="B6" s="155"/>
      <c r="C6" s="11"/>
      <c r="D6" s="10"/>
      <c r="E6" s="28"/>
      <c r="F6" s="11"/>
      <c r="G6" s="11"/>
      <c r="H6" s="29"/>
      <c r="I6" s="29"/>
      <c r="J6" s="29"/>
      <c r="K6" s="27"/>
      <c r="L6" s="27"/>
      <c r="M6" s="27"/>
      <c r="N6" s="30"/>
      <c r="O6" s="27"/>
      <c r="P6" s="27"/>
      <c r="Q6" s="20"/>
    </row>
    <row r="7" spans="2:14" ht="24" customHeight="1" thickBot="1">
      <c r="B7" s="210" t="s">
        <v>102</v>
      </c>
      <c r="C7" s="236"/>
      <c r="D7" s="237"/>
      <c r="E7" s="238"/>
      <c r="F7" s="236"/>
      <c r="G7" s="4"/>
      <c r="H7" s="26"/>
      <c r="I7" s="26"/>
      <c r="J7" s="26"/>
      <c r="K7" s="20"/>
      <c r="L7" s="20"/>
      <c r="M7" s="20"/>
      <c r="N7" s="21"/>
    </row>
    <row r="8" spans="2:14" ht="15" customHeight="1" thickTop="1">
      <c r="B8" s="239" t="s">
        <v>11</v>
      </c>
      <c r="C8" s="239" t="s">
        <v>3</v>
      </c>
      <c r="D8" s="239" t="s">
        <v>0</v>
      </c>
      <c r="E8" s="239" t="s">
        <v>13</v>
      </c>
      <c r="G8" s="240" t="s">
        <v>14</v>
      </c>
      <c r="H8" s="200"/>
      <c r="N8" s="21"/>
    </row>
    <row r="9" spans="2:14" ht="15" customHeight="1">
      <c r="B9" s="8" t="s">
        <v>65</v>
      </c>
      <c r="C9" s="157">
        <v>2.61</v>
      </c>
      <c r="D9" s="157">
        <v>0.93</v>
      </c>
      <c r="E9" s="157">
        <v>1</v>
      </c>
      <c r="G9" s="157">
        <v>4</v>
      </c>
      <c r="H9" s="200"/>
      <c r="N9" s="21"/>
    </row>
    <row r="10" spans="2:14" ht="15" customHeight="1" hidden="1">
      <c r="B10" s="2"/>
      <c r="C10" s="4"/>
      <c r="N10" s="21"/>
    </row>
    <row r="11" spans="1:25" ht="15" customHeight="1">
      <c r="A11" s="20"/>
      <c r="B11" s="2"/>
      <c r="C11" s="4"/>
      <c r="D11" s="3"/>
      <c r="E11" s="25"/>
      <c r="F11" s="4"/>
      <c r="G11" s="4"/>
      <c r="H11" s="26"/>
      <c r="I11" s="26"/>
      <c r="J11" s="26"/>
      <c r="K11" s="20"/>
      <c r="L11" s="20"/>
      <c r="M11" s="20"/>
      <c r="N11" s="2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2:16" ht="24" customHeight="1" thickBot="1">
      <c r="B12" s="241" t="s">
        <v>140</v>
      </c>
      <c r="C12" s="242"/>
      <c r="D12" s="242"/>
      <c r="E12" s="243"/>
      <c r="F12" s="242"/>
      <c r="H12" s="256" t="s">
        <v>127</v>
      </c>
      <c r="I12" s="257"/>
      <c r="J12" s="258"/>
      <c r="K12" s="259"/>
      <c r="L12" s="257"/>
      <c r="M12" s="257"/>
      <c r="N12" s="260"/>
      <c r="O12" s="260"/>
      <c r="P12" s="242"/>
    </row>
    <row r="13" spans="2:16" ht="15" customHeight="1" thickTop="1">
      <c r="B13" s="244"/>
      <c r="C13" s="245"/>
      <c r="D13" s="263" t="s">
        <v>142</v>
      </c>
      <c r="E13" s="263"/>
      <c r="F13" s="244"/>
      <c r="H13" s="261"/>
      <c r="I13" s="261" t="s">
        <v>1</v>
      </c>
      <c r="J13" s="261"/>
      <c r="K13" s="261"/>
      <c r="L13" s="261" t="s">
        <v>0</v>
      </c>
      <c r="M13" s="261"/>
      <c r="N13" s="261"/>
      <c r="O13" s="262" t="s">
        <v>2</v>
      </c>
      <c r="P13" s="262" t="s">
        <v>7</v>
      </c>
    </row>
    <row r="14" spans="2:16" ht="15.75" customHeight="1">
      <c r="B14" s="246" t="s">
        <v>129</v>
      </c>
      <c r="C14" s="247"/>
      <c r="D14" s="246" t="s">
        <v>141</v>
      </c>
      <c r="E14" s="248"/>
      <c r="F14" s="249"/>
      <c r="H14" s="248" t="s">
        <v>2</v>
      </c>
      <c r="I14" s="248" t="s">
        <v>5</v>
      </c>
      <c r="J14" s="248" t="s">
        <v>6</v>
      </c>
      <c r="K14" s="248" t="s">
        <v>3</v>
      </c>
      <c r="L14" s="248" t="s">
        <v>4</v>
      </c>
      <c r="M14" s="248" t="s">
        <v>13</v>
      </c>
      <c r="N14" s="248" t="s">
        <v>14</v>
      </c>
      <c r="O14" s="248" t="s">
        <v>8</v>
      </c>
      <c r="P14" s="248" t="s">
        <v>21</v>
      </c>
    </row>
    <row r="15" spans="2:16" ht="15" customHeight="1">
      <c r="B15" s="224"/>
      <c r="C15" s="250"/>
      <c r="D15" s="251"/>
      <c r="E15" s="251"/>
      <c r="F15" s="251"/>
      <c r="H15" s="206" t="s">
        <v>128</v>
      </c>
      <c r="I15" s="207">
        <v>2.465</v>
      </c>
      <c r="J15" s="207"/>
      <c r="K15" s="65" t="s">
        <v>36</v>
      </c>
      <c r="L15" s="65" t="s">
        <v>36</v>
      </c>
      <c r="M15" s="65" t="s">
        <v>36</v>
      </c>
      <c r="N15" s="65" t="s">
        <v>36</v>
      </c>
      <c r="O15" s="65" t="s">
        <v>36</v>
      </c>
      <c r="P15" s="65" t="s">
        <v>36</v>
      </c>
    </row>
    <row r="16" spans="2:18" ht="15" customHeight="1">
      <c r="B16" s="252" t="s">
        <v>55</v>
      </c>
      <c r="C16" s="202">
        <v>0</v>
      </c>
      <c r="D16" s="254" t="s">
        <v>18</v>
      </c>
      <c r="E16" s="161" t="s">
        <v>72</v>
      </c>
      <c r="F16" s="252"/>
      <c r="H16" s="6" t="s">
        <v>66</v>
      </c>
      <c r="I16" s="158">
        <v>0.524</v>
      </c>
      <c r="J16" s="158">
        <v>6.56</v>
      </c>
      <c r="K16" s="158">
        <v>0.4</v>
      </c>
      <c r="L16" s="158">
        <v>0.49</v>
      </c>
      <c r="M16" s="156">
        <v>0</v>
      </c>
      <c r="N16" s="156">
        <v>1</v>
      </c>
      <c r="O16" s="7" t="s">
        <v>103</v>
      </c>
      <c r="P16" s="7" t="s">
        <v>105</v>
      </c>
      <c r="Q16" s="201">
        <f aca="true" t="shared" si="0" ref="Q16:Q47">IF(P16="","",IF(P16="M",mn,IF(P16="Min",min,IF(P16="Max",max,P16))))</f>
        <v>0.4</v>
      </c>
      <c r="R16" s="19">
        <f>IF(C16="","",IF($I$15="",C16,C16-$I$15))</f>
        <v>-2.465</v>
      </c>
    </row>
    <row r="17" spans="2:18" ht="15" customHeight="1">
      <c r="B17" s="252" t="s">
        <v>56</v>
      </c>
      <c r="C17" s="202">
        <v>1.834</v>
      </c>
      <c r="D17" s="254">
        <v>2</v>
      </c>
      <c r="E17" s="161" t="s">
        <v>73</v>
      </c>
      <c r="F17" s="252"/>
      <c r="H17" s="6" t="s">
        <v>67</v>
      </c>
      <c r="I17" s="158">
        <v>-0.733</v>
      </c>
      <c r="J17" s="158">
        <v>-9.34</v>
      </c>
      <c r="K17" s="158">
        <v>0.47</v>
      </c>
      <c r="L17" s="158">
        <v>0.5</v>
      </c>
      <c r="M17" s="156">
        <v>0</v>
      </c>
      <c r="N17" s="156">
        <v>1</v>
      </c>
      <c r="O17" s="7" t="s">
        <v>103</v>
      </c>
      <c r="P17" s="7" t="s">
        <v>105</v>
      </c>
      <c r="Q17" s="201">
        <f t="shared" si="0"/>
        <v>0.47</v>
      </c>
      <c r="R17" s="19">
        <f aca="true" t="shared" si="1" ref="R17:R25">IF(C17="","",IF($I$15="",C17,C17-$I$15))</f>
        <v>-0.6309999999999998</v>
      </c>
    </row>
    <row r="18" spans="2:18" ht="15" customHeight="1">
      <c r="B18" s="252" t="s">
        <v>57</v>
      </c>
      <c r="C18" s="202">
        <v>3.727</v>
      </c>
      <c r="D18" s="254">
        <v>3</v>
      </c>
      <c r="E18" s="161" t="s">
        <v>74</v>
      </c>
      <c r="F18" s="252"/>
      <c r="H18" s="6" t="s">
        <v>68</v>
      </c>
      <c r="I18" s="158">
        <v>-0.391</v>
      </c>
      <c r="J18" s="158">
        <v>-3.3</v>
      </c>
      <c r="K18" s="158">
        <v>0.88</v>
      </c>
      <c r="L18" s="158">
        <v>0.33</v>
      </c>
      <c r="M18" s="156">
        <v>0</v>
      </c>
      <c r="N18" s="156">
        <v>1</v>
      </c>
      <c r="O18" s="7" t="s">
        <v>103</v>
      </c>
      <c r="P18" s="7" t="s">
        <v>105</v>
      </c>
      <c r="Q18" s="201">
        <f t="shared" si="0"/>
        <v>0.88</v>
      </c>
      <c r="R18" s="19">
        <f t="shared" si="1"/>
        <v>1.262</v>
      </c>
    </row>
    <row r="19" spans="2:18" ht="15" customHeight="1">
      <c r="B19" s="252" t="s">
        <v>58</v>
      </c>
      <c r="C19" s="203"/>
      <c r="D19" s="254">
        <v>4</v>
      </c>
      <c r="E19" s="161" t="s">
        <v>75</v>
      </c>
      <c r="F19" s="252"/>
      <c r="H19" s="6" t="s">
        <v>69</v>
      </c>
      <c r="I19" s="158">
        <v>-0.022</v>
      </c>
      <c r="J19" s="158">
        <v>-8.78</v>
      </c>
      <c r="K19" s="158">
        <v>44.94</v>
      </c>
      <c r="L19" s="158">
        <v>16.78</v>
      </c>
      <c r="M19" s="156">
        <v>18</v>
      </c>
      <c r="N19" s="156">
        <v>89</v>
      </c>
      <c r="O19" s="7" t="s">
        <v>104</v>
      </c>
      <c r="P19" s="7" t="s">
        <v>105</v>
      </c>
      <c r="Q19" s="201">
        <f t="shared" si="0"/>
        <v>44.94</v>
      </c>
      <c r="R19" s="19">
        <f t="shared" si="1"/>
      </c>
    </row>
    <row r="20" spans="2:18" ht="15" customHeight="1">
      <c r="B20" s="252" t="s">
        <v>59</v>
      </c>
      <c r="C20" s="203"/>
      <c r="D20" s="254">
        <v>5</v>
      </c>
      <c r="E20" s="161"/>
      <c r="F20" s="252"/>
      <c r="H20" s="6" t="s">
        <v>70</v>
      </c>
      <c r="I20" s="158">
        <v>0.067</v>
      </c>
      <c r="J20" s="158">
        <v>4.2</v>
      </c>
      <c r="K20" s="158">
        <v>12.22</v>
      </c>
      <c r="L20" s="158">
        <v>3.16</v>
      </c>
      <c r="M20" s="156">
        <v>0</v>
      </c>
      <c r="N20" s="156">
        <v>20</v>
      </c>
      <c r="O20" s="7" t="s">
        <v>104</v>
      </c>
      <c r="P20" s="7" t="s">
        <v>105</v>
      </c>
      <c r="Q20" s="201">
        <f t="shared" si="0"/>
        <v>12.22</v>
      </c>
      <c r="R20" s="19">
        <f t="shared" si="1"/>
      </c>
    </row>
    <row r="21" spans="2:18" ht="15" customHeight="1">
      <c r="B21" s="252" t="s">
        <v>60</v>
      </c>
      <c r="C21" s="203"/>
      <c r="D21" s="254">
        <v>6</v>
      </c>
      <c r="E21" s="161"/>
      <c r="F21" s="252"/>
      <c r="H21" s="6" t="s">
        <v>71</v>
      </c>
      <c r="I21" s="158">
        <v>0.006</v>
      </c>
      <c r="J21" s="158">
        <v>1.84</v>
      </c>
      <c r="K21" s="158">
        <v>39.59</v>
      </c>
      <c r="L21" s="158">
        <v>14.49</v>
      </c>
      <c r="M21" s="156">
        <v>12</v>
      </c>
      <c r="N21" s="156">
        <v>82</v>
      </c>
      <c r="O21" s="7" t="s">
        <v>104</v>
      </c>
      <c r="P21" s="7" t="s">
        <v>105</v>
      </c>
      <c r="Q21" s="201">
        <f t="shared" si="0"/>
        <v>39.59</v>
      </c>
      <c r="R21" s="19">
        <f t="shared" si="1"/>
      </c>
    </row>
    <row r="22" spans="2:18" ht="15" customHeight="1">
      <c r="B22" s="252" t="s">
        <v>61</v>
      </c>
      <c r="C22" s="203"/>
      <c r="D22" s="254">
        <v>7</v>
      </c>
      <c r="E22" s="161"/>
      <c r="F22" s="252"/>
      <c r="H22" s="6"/>
      <c r="I22" s="158"/>
      <c r="J22" s="158"/>
      <c r="K22" s="158"/>
      <c r="L22" s="158"/>
      <c r="M22" s="156"/>
      <c r="N22" s="156"/>
      <c r="O22" s="7"/>
      <c r="P22" s="7"/>
      <c r="Q22" s="201">
        <f t="shared" si="0"/>
      </c>
      <c r="R22" s="19">
        <f t="shared" si="1"/>
      </c>
    </row>
    <row r="23" spans="2:18" ht="15" customHeight="1">
      <c r="B23" s="252" t="s">
        <v>62</v>
      </c>
      <c r="C23" s="203"/>
      <c r="D23" s="254">
        <v>8</v>
      </c>
      <c r="E23" s="161"/>
      <c r="F23" s="252"/>
      <c r="H23" s="6"/>
      <c r="I23" s="158"/>
      <c r="J23" s="158"/>
      <c r="K23" s="158"/>
      <c r="L23" s="158"/>
      <c r="M23" s="159"/>
      <c r="N23" s="159"/>
      <c r="O23" s="7"/>
      <c r="P23" s="7"/>
      <c r="Q23" s="201">
        <f t="shared" si="0"/>
      </c>
      <c r="R23" s="19">
        <f t="shared" si="1"/>
      </c>
    </row>
    <row r="24" spans="2:18" ht="15" customHeight="1">
      <c r="B24" s="252" t="s">
        <v>63</v>
      </c>
      <c r="C24" s="203"/>
      <c r="D24" s="254">
        <v>9</v>
      </c>
      <c r="E24" s="161"/>
      <c r="F24" s="252"/>
      <c r="H24" s="6"/>
      <c r="I24" s="158"/>
      <c r="J24" s="158"/>
      <c r="K24" s="158"/>
      <c r="L24" s="158"/>
      <c r="M24" s="156"/>
      <c r="N24" s="156"/>
      <c r="O24" s="7"/>
      <c r="P24" s="7"/>
      <c r="Q24" s="201">
        <f t="shared" si="0"/>
      </c>
      <c r="R24" s="19">
        <f t="shared" si="1"/>
      </c>
    </row>
    <row r="25" spans="2:18" ht="15" customHeight="1">
      <c r="B25" s="253" t="s">
        <v>64</v>
      </c>
      <c r="C25" s="204"/>
      <c r="D25" s="255">
        <v>10</v>
      </c>
      <c r="E25" s="162"/>
      <c r="F25" s="253"/>
      <c r="H25" s="6"/>
      <c r="I25" s="158"/>
      <c r="J25" s="158"/>
      <c r="K25" s="158"/>
      <c r="L25" s="158"/>
      <c r="M25" s="156"/>
      <c r="N25" s="156"/>
      <c r="O25" s="7"/>
      <c r="P25" s="7"/>
      <c r="Q25" s="201">
        <f t="shared" si="0"/>
      </c>
      <c r="R25" s="20">
        <f t="shared" si="1"/>
      </c>
    </row>
    <row r="26" spans="8:17" ht="15" customHeight="1">
      <c r="H26" s="6"/>
      <c r="I26" s="158"/>
      <c r="J26" s="158"/>
      <c r="K26" s="158"/>
      <c r="L26" s="158"/>
      <c r="M26" s="156"/>
      <c r="N26" s="156"/>
      <c r="O26" s="7"/>
      <c r="P26" s="7"/>
      <c r="Q26" s="201">
        <f t="shared" si="0"/>
      </c>
    </row>
    <row r="27" spans="8:17" ht="15" customHeight="1">
      <c r="H27" s="6"/>
      <c r="I27" s="158"/>
      <c r="J27" s="158"/>
      <c r="K27" s="158"/>
      <c r="L27" s="158"/>
      <c r="M27" s="156"/>
      <c r="N27" s="156"/>
      <c r="O27" s="7"/>
      <c r="P27" s="7"/>
      <c r="Q27" s="201">
        <f t="shared" si="0"/>
      </c>
    </row>
    <row r="28" spans="8:17" ht="15" customHeight="1">
      <c r="H28" s="6"/>
      <c r="I28" s="158"/>
      <c r="J28" s="158"/>
      <c r="K28" s="158"/>
      <c r="L28" s="158"/>
      <c r="M28" s="156"/>
      <c r="N28" s="156"/>
      <c r="O28" s="7"/>
      <c r="P28" s="7"/>
      <c r="Q28" s="201">
        <f t="shared" si="0"/>
      </c>
    </row>
    <row r="29" spans="8:17" ht="15" customHeight="1">
      <c r="H29" s="6"/>
      <c r="I29" s="158"/>
      <c r="J29" s="158"/>
      <c r="K29" s="158"/>
      <c r="L29" s="158"/>
      <c r="M29" s="156"/>
      <c r="N29" s="156"/>
      <c r="O29" s="7"/>
      <c r="P29" s="7"/>
      <c r="Q29" s="201">
        <f t="shared" si="0"/>
      </c>
    </row>
    <row r="30" spans="8:17" ht="15" customHeight="1">
      <c r="H30" s="6"/>
      <c r="I30" s="158"/>
      <c r="J30" s="158"/>
      <c r="K30" s="158"/>
      <c r="L30" s="158"/>
      <c r="M30" s="156"/>
      <c r="N30" s="156"/>
      <c r="O30" s="7"/>
      <c r="P30" s="7"/>
      <c r="Q30" s="201">
        <f t="shared" si="0"/>
      </c>
    </row>
    <row r="31" spans="8:17" ht="15" customHeight="1">
      <c r="H31" s="6"/>
      <c r="I31" s="158"/>
      <c r="J31" s="158"/>
      <c r="K31" s="158"/>
      <c r="L31" s="158"/>
      <c r="M31" s="156"/>
      <c r="N31" s="156"/>
      <c r="O31" s="7"/>
      <c r="P31" s="7"/>
      <c r="Q31" s="201">
        <f t="shared" si="0"/>
      </c>
    </row>
    <row r="32" spans="8:17" ht="15" customHeight="1">
      <c r="H32" s="6"/>
      <c r="I32" s="158"/>
      <c r="J32" s="158"/>
      <c r="K32" s="158"/>
      <c r="L32" s="158"/>
      <c r="M32" s="156"/>
      <c r="N32" s="156"/>
      <c r="O32" s="7"/>
      <c r="P32" s="7"/>
      <c r="Q32" s="201">
        <f t="shared" si="0"/>
      </c>
    </row>
    <row r="33" spans="8:17" ht="15" customHeight="1">
      <c r="H33" s="6"/>
      <c r="I33" s="158"/>
      <c r="J33" s="158"/>
      <c r="K33" s="158"/>
      <c r="L33" s="158"/>
      <c r="M33" s="156"/>
      <c r="N33" s="156"/>
      <c r="O33" s="7"/>
      <c r="P33" s="7"/>
      <c r="Q33" s="201">
        <f t="shared" si="0"/>
      </c>
    </row>
    <row r="34" spans="8:17" ht="15" customHeight="1">
      <c r="H34" s="6"/>
      <c r="I34" s="158"/>
      <c r="J34" s="158"/>
      <c r="K34" s="158"/>
      <c r="L34" s="158"/>
      <c r="M34" s="156"/>
      <c r="N34" s="156"/>
      <c r="O34" s="7"/>
      <c r="P34" s="7"/>
      <c r="Q34" s="201">
        <f t="shared" si="0"/>
      </c>
    </row>
    <row r="35" spans="8:17" ht="15" customHeight="1">
      <c r="H35" s="6"/>
      <c r="I35" s="158"/>
      <c r="J35" s="158"/>
      <c r="K35" s="158"/>
      <c r="L35" s="158"/>
      <c r="M35" s="156"/>
      <c r="N35" s="156"/>
      <c r="O35" s="7"/>
      <c r="P35" s="7"/>
      <c r="Q35" s="201">
        <f t="shared" si="0"/>
      </c>
    </row>
    <row r="36" spans="8:17" ht="15" customHeight="1">
      <c r="H36" s="6"/>
      <c r="I36" s="158"/>
      <c r="J36" s="158"/>
      <c r="K36" s="158"/>
      <c r="L36" s="158"/>
      <c r="M36" s="156"/>
      <c r="N36" s="156"/>
      <c r="O36" s="7"/>
      <c r="P36" s="7"/>
      <c r="Q36" s="201">
        <f t="shared" si="0"/>
      </c>
    </row>
    <row r="37" spans="8:17" ht="15" customHeight="1">
      <c r="H37" s="6"/>
      <c r="I37" s="158"/>
      <c r="J37" s="158"/>
      <c r="K37" s="158"/>
      <c r="L37" s="158"/>
      <c r="M37" s="156"/>
      <c r="N37" s="156"/>
      <c r="O37" s="7"/>
      <c r="P37" s="7"/>
      <c r="Q37" s="201">
        <f t="shared" si="0"/>
      </c>
    </row>
    <row r="38" spans="8:17" ht="15" customHeight="1">
      <c r="H38" s="6"/>
      <c r="I38" s="158"/>
      <c r="J38" s="158"/>
      <c r="K38" s="158"/>
      <c r="L38" s="158"/>
      <c r="M38" s="156"/>
      <c r="N38" s="156"/>
      <c r="O38" s="7"/>
      <c r="P38" s="7"/>
      <c r="Q38" s="201">
        <f t="shared" si="0"/>
      </c>
    </row>
    <row r="39" spans="8:17" ht="15" customHeight="1">
      <c r="H39" s="6"/>
      <c r="I39" s="158"/>
      <c r="J39" s="158"/>
      <c r="K39" s="158"/>
      <c r="L39" s="158"/>
      <c r="M39" s="156"/>
      <c r="N39" s="156"/>
      <c r="O39" s="7"/>
      <c r="P39" s="7"/>
      <c r="Q39" s="201">
        <f t="shared" si="0"/>
      </c>
    </row>
    <row r="40" spans="8:17" ht="15" customHeight="1">
      <c r="H40" s="6"/>
      <c r="I40" s="158"/>
      <c r="J40" s="158"/>
      <c r="K40" s="158"/>
      <c r="L40" s="158"/>
      <c r="M40" s="156"/>
      <c r="N40" s="156"/>
      <c r="O40" s="7"/>
      <c r="P40" s="7"/>
      <c r="Q40" s="201">
        <f t="shared" si="0"/>
      </c>
    </row>
    <row r="41" spans="8:17" ht="15" customHeight="1">
      <c r="H41" s="6"/>
      <c r="I41" s="158"/>
      <c r="J41" s="158"/>
      <c r="K41" s="158"/>
      <c r="L41" s="158"/>
      <c r="M41" s="156"/>
      <c r="N41" s="156"/>
      <c r="O41" s="7"/>
      <c r="P41" s="7"/>
      <c r="Q41" s="201">
        <f t="shared" si="0"/>
      </c>
    </row>
    <row r="42" spans="8:17" ht="15" customHeight="1">
      <c r="H42" s="6"/>
      <c r="I42" s="158"/>
      <c r="J42" s="158"/>
      <c r="K42" s="158"/>
      <c r="L42" s="158"/>
      <c r="M42" s="156"/>
      <c r="N42" s="156"/>
      <c r="O42" s="7"/>
      <c r="P42" s="7"/>
      <c r="Q42" s="201">
        <f t="shared" si="0"/>
      </c>
    </row>
    <row r="43" spans="8:17" ht="15" customHeight="1">
      <c r="H43" s="6"/>
      <c r="I43" s="158"/>
      <c r="J43" s="158"/>
      <c r="K43" s="158"/>
      <c r="L43" s="158"/>
      <c r="M43" s="156"/>
      <c r="N43" s="156"/>
      <c r="O43" s="7"/>
      <c r="P43" s="7"/>
      <c r="Q43" s="201">
        <f t="shared" si="0"/>
      </c>
    </row>
    <row r="44" spans="8:17" ht="15" customHeight="1">
      <c r="H44" s="6"/>
      <c r="I44" s="158"/>
      <c r="J44" s="158"/>
      <c r="K44" s="158"/>
      <c r="L44" s="158"/>
      <c r="M44" s="156"/>
      <c r="N44" s="156"/>
      <c r="O44" s="7"/>
      <c r="P44" s="7"/>
      <c r="Q44" s="201">
        <f t="shared" si="0"/>
      </c>
    </row>
    <row r="45" spans="8:17" ht="15" customHeight="1">
      <c r="H45" s="6"/>
      <c r="I45" s="158"/>
      <c r="J45" s="158"/>
      <c r="K45" s="158"/>
      <c r="L45" s="158"/>
      <c r="M45" s="156"/>
      <c r="N45" s="156"/>
      <c r="O45" s="7"/>
      <c r="P45" s="7"/>
      <c r="Q45" s="201">
        <f t="shared" si="0"/>
      </c>
    </row>
    <row r="46" spans="8:17" ht="15" customHeight="1">
      <c r="H46" s="6"/>
      <c r="I46" s="158"/>
      <c r="J46" s="158"/>
      <c r="K46" s="158"/>
      <c r="L46" s="158"/>
      <c r="M46" s="156"/>
      <c r="N46" s="156"/>
      <c r="O46" s="7"/>
      <c r="P46" s="7"/>
      <c r="Q46" s="201">
        <f t="shared" si="0"/>
      </c>
    </row>
    <row r="47" spans="8:17" ht="15" customHeight="1">
      <c r="H47" s="6"/>
      <c r="I47" s="158"/>
      <c r="J47" s="158"/>
      <c r="K47" s="158"/>
      <c r="L47" s="158"/>
      <c r="M47" s="156"/>
      <c r="N47" s="156"/>
      <c r="O47" s="7"/>
      <c r="P47" s="7"/>
      <c r="Q47" s="201">
        <f t="shared" si="0"/>
      </c>
    </row>
    <row r="48" spans="8:17" ht="15" customHeight="1">
      <c r="H48" s="6"/>
      <c r="I48" s="158"/>
      <c r="J48" s="158"/>
      <c r="K48" s="158"/>
      <c r="L48" s="158"/>
      <c r="M48" s="156"/>
      <c r="N48" s="156"/>
      <c r="O48" s="7"/>
      <c r="P48" s="7"/>
      <c r="Q48" s="201">
        <f aca="true" t="shared" si="2" ref="Q48:Q65">IF(P48="","",IF(P48="M",mn,IF(P48="Min",min,IF(P48="Max",max,P48))))</f>
      </c>
    </row>
    <row r="49" spans="8:17" ht="15" customHeight="1">
      <c r="H49" s="6"/>
      <c r="I49" s="158"/>
      <c r="J49" s="158"/>
      <c r="K49" s="158"/>
      <c r="L49" s="158"/>
      <c r="M49" s="156"/>
      <c r="N49" s="156"/>
      <c r="O49" s="7"/>
      <c r="P49" s="7"/>
      <c r="Q49" s="201">
        <f t="shared" si="2"/>
      </c>
    </row>
    <row r="50" spans="8:17" ht="15" customHeight="1">
      <c r="H50" s="6"/>
      <c r="I50" s="158"/>
      <c r="J50" s="158"/>
      <c r="K50" s="158"/>
      <c r="L50" s="158"/>
      <c r="M50" s="156"/>
      <c r="N50" s="156"/>
      <c r="O50" s="7"/>
      <c r="P50" s="7"/>
      <c r="Q50" s="201">
        <f t="shared" si="2"/>
      </c>
    </row>
    <row r="51" spans="8:17" ht="15" customHeight="1">
      <c r="H51" s="6"/>
      <c r="I51" s="158"/>
      <c r="J51" s="158"/>
      <c r="K51" s="158"/>
      <c r="L51" s="158"/>
      <c r="M51" s="156"/>
      <c r="N51" s="156"/>
      <c r="O51" s="7"/>
      <c r="P51" s="7"/>
      <c r="Q51" s="201">
        <f t="shared" si="2"/>
      </c>
    </row>
    <row r="52" spans="8:17" ht="15" customHeight="1">
      <c r="H52" s="6"/>
      <c r="I52" s="158"/>
      <c r="J52" s="158"/>
      <c r="K52" s="158"/>
      <c r="L52" s="158"/>
      <c r="M52" s="156"/>
      <c r="N52" s="156"/>
      <c r="O52" s="7"/>
      <c r="P52" s="7"/>
      <c r="Q52" s="201">
        <f t="shared" si="2"/>
      </c>
    </row>
    <row r="53" spans="8:17" ht="15" customHeight="1">
      <c r="H53" s="6"/>
      <c r="I53" s="158"/>
      <c r="J53" s="158"/>
      <c r="K53" s="158"/>
      <c r="L53" s="158"/>
      <c r="M53" s="156"/>
      <c r="N53" s="156"/>
      <c r="O53" s="7"/>
      <c r="P53" s="7"/>
      <c r="Q53" s="201">
        <f t="shared" si="2"/>
      </c>
    </row>
    <row r="54" spans="8:17" ht="15" customHeight="1">
      <c r="H54" s="6"/>
      <c r="I54" s="158"/>
      <c r="J54" s="158"/>
      <c r="K54" s="158"/>
      <c r="L54" s="158"/>
      <c r="M54" s="156"/>
      <c r="N54" s="156"/>
      <c r="O54" s="7"/>
      <c r="P54" s="7"/>
      <c r="Q54" s="201">
        <f t="shared" si="2"/>
      </c>
    </row>
    <row r="55" spans="8:17" ht="15" customHeight="1">
      <c r="H55" s="6"/>
      <c r="I55" s="158"/>
      <c r="J55" s="158"/>
      <c r="K55" s="158"/>
      <c r="L55" s="158"/>
      <c r="M55" s="156"/>
      <c r="N55" s="156"/>
      <c r="O55" s="7"/>
      <c r="P55" s="7"/>
      <c r="Q55" s="201">
        <f t="shared" si="2"/>
      </c>
    </row>
    <row r="56" spans="8:17" ht="15" customHeight="1">
      <c r="H56" s="6"/>
      <c r="I56" s="158"/>
      <c r="J56" s="158"/>
      <c r="K56" s="158"/>
      <c r="L56" s="158"/>
      <c r="M56" s="156"/>
      <c r="N56" s="156"/>
      <c r="O56" s="7"/>
      <c r="P56" s="7"/>
      <c r="Q56" s="201">
        <f t="shared" si="2"/>
      </c>
    </row>
    <row r="57" spans="8:17" ht="15" customHeight="1">
      <c r="H57" s="6"/>
      <c r="I57" s="158"/>
      <c r="J57" s="158"/>
      <c r="K57" s="158"/>
      <c r="L57" s="158"/>
      <c r="M57" s="156"/>
      <c r="N57" s="156"/>
      <c r="O57" s="7"/>
      <c r="P57" s="7"/>
      <c r="Q57" s="201">
        <f t="shared" si="2"/>
      </c>
    </row>
    <row r="58" spans="8:17" ht="15" customHeight="1">
      <c r="H58" s="6"/>
      <c r="I58" s="158"/>
      <c r="J58" s="158"/>
      <c r="K58" s="158"/>
      <c r="L58" s="158"/>
      <c r="M58" s="156"/>
      <c r="N58" s="156"/>
      <c r="O58" s="7"/>
      <c r="P58" s="7"/>
      <c r="Q58" s="201">
        <f t="shared" si="2"/>
      </c>
    </row>
    <row r="59" spans="8:17" ht="15" customHeight="1">
      <c r="H59" s="6"/>
      <c r="I59" s="158"/>
      <c r="J59" s="158"/>
      <c r="K59" s="158"/>
      <c r="L59" s="158"/>
      <c r="M59" s="156"/>
      <c r="N59" s="156"/>
      <c r="O59" s="7"/>
      <c r="P59" s="7"/>
      <c r="Q59" s="201">
        <f t="shared" si="2"/>
      </c>
    </row>
    <row r="60" spans="8:17" ht="15" customHeight="1">
      <c r="H60" s="6"/>
      <c r="I60" s="158"/>
      <c r="J60" s="158"/>
      <c r="K60" s="158"/>
      <c r="L60" s="158"/>
      <c r="M60" s="156"/>
      <c r="N60" s="156"/>
      <c r="O60" s="7"/>
      <c r="P60" s="7"/>
      <c r="Q60" s="201">
        <f t="shared" si="2"/>
      </c>
    </row>
    <row r="61" spans="8:17" ht="15" customHeight="1">
      <c r="H61" s="6"/>
      <c r="I61" s="158"/>
      <c r="J61" s="158"/>
      <c r="K61" s="158"/>
      <c r="L61" s="158"/>
      <c r="M61" s="156"/>
      <c r="N61" s="156"/>
      <c r="O61" s="7"/>
      <c r="P61" s="7"/>
      <c r="Q61" s="201">
        <f t="shared" si="2"/>
      </c>
    </row>
    <row r="62" spans="8:17" ht="15" customHeight="1">
      <c r="H62" s="6"/>
      <c r="I62" s="158"/>
      <c r="J62" s="158"/>
      <c r="K62" s="158"/>
      <c r="L62" s="158"/>
      <c r="M62" s="156"/>
      <c r="N62" s="156"/>
      <c r="O62" s="7"/>
      <c r="P62" s="7"/>
      <c r="Q62" s="201">
        <f t="shared" si="2"/>
      </c>
    </row>
    <row r="63" spans="8:17" ht="15" customHeight="1">
      <c r="H63" s="6"/>
      <c r="I63" s="158"/>
      <c r="J63" s="158"/>
      <c r="K63" s="158"/>
      <c r="L63" s="158"/>
      <c r="M63" s="156"/>
      <c r="N63" s="156"/>
      <c r="O63" s="7"/>
      <c r="P63" s="7"/>
      <c r="Q63" s="201">
        <f t="shared" si="2"/>
      </c>
    </row>
    <row r="64" spans="8:17" ht="15" customHeight="1">
      <c r="H64" s="6"/>
      <c r="I64" s="158"/>
      <c r="J64" s="158"/>
      <c r="K64" s="158"/>
      <c r="L64" s="158"/>
      <c r="M64" s="156"/>
      <c r="N64" s="156"/>
      <c r="O64" s="7"/>
      <c r="P64" s="7"/>
      <c r="Q64" s="201">
        <f t="shared" si="2"/>
      </c>
    </row>
    <row r="65" spans="8:17" ht="15" customHeight="1">
      <c r="H65" s="8"/>
      <c r="I65" s="160"/>
      <c r="J65" s="160"/>
      <c r="K65" s="160"/>
      <c r="L65" s="160"/>
      <c r="M65" s="157"/>
      <c r="N65" s="157"/>
      <c r="O65" s="31"/>
      <c r="P65" s="31"/>
      <c r="Q65" s="201">
        <f t="shared" si="2"/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65"/>
  <sheetViews>
    <sheetView showGridLines="0" zoomScale="95" zoomScaleNormal="95" workbookViewId="0" topLeftCell="A1">
      <selection activeCell="D26" sqref="D26"/>
    </sheetView>
  </sheetViews>
  <sheetFormatPr defaultColWidth="9.140625" defaultRowHeight="12.75"/>
  <cols>
    <col min="1" max="1" width="2.00390625" style="32" customWidth="1"/>
    <col min="2" max="2" width="2.7109375" style="32" customWidth="1"/>
    <col min="3" max="3" width="5.00390625" style="32" customWidth="1"/>
    <col min="4" max="4" width="9.140625" style="32" customWidth="1"/>
    <col min="5" max="5" width="11.00390625" style="32" customWidth="1"/>
    <col min="6" max="15" width="9.140625" style="32" customWidth="1"/>
    <col min="16" max="16384" width="8.8515625" style="32" customWidth="1"/>
  </cols>
  <sheetData>
    <row r="1" spans="2:13" ht="21.75" customHeight="1">
      <c r="B1" s="191" t="s">
        <v>16</v>
      </c>
      <c r="C1" s="20"/>
      <c r="D1" s="20"/>
      <c r="E1" s="20"/>
      <c r="F1" s="20"/>
      <c r="G1" s="20"/>
      <c r="H1" s="60" t="s">
        <v>100</v>
      </c>
      <c r="I1" s="20"/>
      <c r="K1" s="20"/>
      <c r="L1" s="20"/>
      <c r="M1" s="19"/>
    </row>
    <row r="2" spans="3:13" ht="18" customHeight="1">
      <c r="C2" s="22" t="s">
        <v>38</v>
      </c>
      <c r="D2" s="23"/>
      <c r="E2" s="20"/>
      <c r="F2" s="20"/>
      <c r="G2" s="20"/>
      <c r="H2" s="20"/>
      <c r="I2" s="20"/>
      <c r="J2" s="19"/>
      <c r="K2" s="20"/>
      <c r="M2" s="19"/>
    </row>
    <row r="3" spans="3:13" ht="15" customHeight="1">
      <c r="C3" s="192" t="s">
        <v>43</v>
      </c>
      <c r="D3" s="33" t="s">
        <v>106</v>
      </c>
      <c r="E3" s="34"/>
      <c r="F3" s="34"/>
      <c r="G3" s="34"/>
      <c r="H3" s="34"/>
      <c r="I3" s="34"/>
      <c r="J3" s="35"/>
      <c r="M3" s="19"/>
    </row>
    <row r="4" spans="3:13" ht="15" customHeight="1">
      <c r="C4" s="193" t="s">
        <v>45</v>
      </c>
      <c r="D4" s="32" t="s">
        <v>122</v>
      </c>
      <c r="E4" s="34"/>
      <c r="F4" s="34"/>
      <c r="G4" s="34"/>
      <c r="H4" s="34"/>
      <c r="I4" s="34"/>
      <c r="J4" s="19"/>
      <c r="K4" s="34"/>
      <c r="M4" s="19"/>
    </row>
    <row r="5" spans="3:13" ht="15" customHeight="1">
      <c r="C5" s="194" t="s">
        <v>46</v>
      </c>
      <c r="D5" s="20" t="s">
        <v>123</v>
      </c>
      <c r="E5" s="34"/>
      <c r="F5" s="34"/>
      <c r="G5" s="34"/>
      <c r="H5" s="34"/>
      <c r="I5" s="34"/>
      <c r="J5" s="19"/>
      <c r="K5" s="34"/>
      <c r="M5" s="19"/>
    </row>
    <row r="6" spans="4:13" ht="15" customHeight="1">
      <c r="D6" s="34" t="s">
        <v>107</v>
      </c>
      <c r="E6" s="34"/>
      <c r="F6" s="34"/>
      <c r="G6" s="34"/>
      <c r="H6" s="34"/>
      <c r="I6" s="34"/>
      <c r="J6" s="19"/>
      <c r="K6" s="34"/>
      <c r="M6" s="19"/>
    </row>
    <row r="7" spans="3:12" ht="15" customHeight="1">
      <c r="C7" s="36"/>
      <c r="E7" s="34"/>
      <c r="F7" s="34"/>
      <c r="G7" s="34"/>
      <c r="H7" s="34"/>
      <c r="I7" s="34"/>
      <c r="J7" s="19"/>
      <c r="K7" s="34"/>
      <c r="L7" s="19"/>
    </row>
    <row r="8" spans="10:11" ht="15" customHeight="1">
      <c r="J8" s="37"/>
      <c r="K8" s="37"/>
    </row>
    <row r="9" spans="8:9" ht="15" customHeight="1">
      <c r="H9" s="38"/>
      <c r="I9" s="38"/>
    </row>
    <row r="10" ht="15" customHeight="1"/>
    <row r="11" spans="1:19" ht="15" customHeight="1">
      <c r="A11" s="39"/>
      <c r="B11" s="39"/>
      <c r="C11" s="39"/>
      <c r="D11" s="39"/>
      <c r="E11" s="39"/>
      <c r="F11" s="4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2:18" ht="24" customHeight="1" thickBot="1">
      <c r="B12" s="19"/>
      <c r="C12" s="61" t="s">
        <v>124</v>
      </c>
      <c r="D12" s="61"/>
      <c r="E12" s="68"/>
      <c r="F12" s="68"/>
      <c r="G12" s="68"/>
      <c r="H12" s="68"/>
      <c r="I12" s="69"/>
      <c r="J12" s="69"/>
      <c r="K12" s="69"/>
      <c r="L12" s="69"/>
      <c r="M12" s="69"/>
      <c r="N12" s="69"/>
      <c r="O12" s="69"/>
      <c r="Q12" s="61" t="s">
        <v>48</v>
      </c>
      <c r="R12" s="69"/>
    </row>
    <row r="13" spans="2:18" ht="15" customHeight="1" thickTop="1">
      <c r="B13" s="19"/>
      <c r="C13" s="195"/>
      <c r="D13" s="196"/>
      <c r="E13" s="197" t="s">
        <v>108</v>
      </c>
      <c r="F13" s="71" t="s">
        <v>39</v>
      </c>
      <c r="O13" s="72"/>
      <c r="Q13" s="19"/>
      <c r="R13" s="19"/>
    </row>
    <row r="14" spans="2:18" ht="15" customHeight="1">
      <c r="B14" s="19"/>
      <c r="C14" s="198"/>
      <c r="D14" s="199"/>
      <c r="E14" s="199" t="s">
        <v>109</v>
      </c>
      <c r="F14" s="73" t="str">
        <f>cat1</f>
        <v>SD</v>
      </c>
      <c r="G14" s="73" t="str">
        <f>cat2</f>
        <v>DA</v>
      </c>
      <c r="H14" s="73" t="str">
        <f>IF(cat3="","",cat3)</f>
        <v>AG</v>
      </c>
      <c r="I14" s="73" t="str">
        <f>IF(cat4="","",cat4)</f>
        <v>SA</v>
      </c>
      <c r="J14" s="73">
        <f>IF(cat5="","",cat5)</f>
      </c>
      <c r="K14" s="73">
        <f>IF(cat6="","",cat6)</f>
      </c>
      <c r="L14" s="73">
        <f>IF(cat7="","",cat7)</f>
      </c>
      <c r="M14" s="73">
        <f>IF(cat8="","",cat8)</f>
      </c>
      <c r="N14" s="73">
        <f>IF(cat9="","",cat9)</f>
      </c>
      <c r="O14" s="74">
        <f>IF(cat10="","",cat10)</f>
      </c>
      <c r="Q14" s="27" t="s">
        <v>47</v>
      </c>
      <c r="R14" s="27" t="s">
        <v>15</v>
      </c>
    </row>
    <row r="15" spans="2:18" ht="12.75" customHeight="1">
      <c r="B15" s="19"/>
      <c r="C15" s="70"/>
      <c r="E15" s="163"/>
      <c r="F15" s="75"/>
      <c r="G15" s="76"/>
      <c r="H15" s="76"/>
      <c r="I15" s="76"/>
      <c r="J15" s="76"/>
      <c r="K15" s="76"/>
      <c r="L15" s="77"/>
      <c r="M15" s="77"/>
      <c r="N15" s="77"/>
      <c r="O15" s="78"/>
      <c r="Q15" s="19"/>
      <c r="R15" s="19"/>
    </row>
    <row r="16" spans="2:18" ht="12.75" customHeight="1">
      <c r="B16" s="19"/>
      <c r="C16" s="70"/>
      <c r="E16" s="164" t="s">
        <v>7</v>
      </c>
      <c r="F16" s="79">
        <f>ocdf(+Cut1,+Sbase)</f>
        <v>0.11368811877919503</v>
      </c>
      <c r="G16" s="80">
        <f>IF(G$14="","",(IF(H$14="",1-ocdf(Cut1,Sbase),ocdf(cut2,Sbase)-ocdf(Cut1,Sbase))))</f>
        <v>0.3316289778721978</v>
      </c>
      <c r="H16" s="80">
        <f>IF(H$14="","",(IF(I$14="",1-ocdf(cut2,Sbase),ocdf(cut3,Sbase)-ocdf(cut2,Sbase))))</f>
        <v>0.39671017631526206</v>
      </c>
      <c r="I16" s="80">
        <f>IF(I$14="","",(IF(J$14="",1-ocdf(cut3,Sbase),ocdf(cut4,Sbase)-ocdf(cut3,Sbase))))</f>
        <v>0.15797272703334508</v>
      </c>
      <c r="J16" s="80">
        <f>IF(J$14="","",(IF(K$14="",1-ocdf(cut4,Sbase),ocdf(cut5,Sbase)-ocdf(cut4,Sbase))))</f>
      </c>
      <c r="K16" s="80">
        <f>IF(K$14="","",(IF(L$14="",1-ocdf(cut5,Sbase),ocdf(cut6,Sbase)-ocdf(cut5,Sbase))))</f>
      </c>
      <c r="L16" s="80">
        <f>IF(L$14="","",(IF(M$14="",1-ocdf(cut6,Sbase),ocdf(cut7,Sbase)-ocdf(cut6,Sbase))))</f>
      </c>
      <c r="M16" s="80">
        <f>IF(M$14="","",(IF(N$14="",1-ocdf(cut7,Sbase),ocdf(cut8,Sbase)-ocdf(cut7,Sbase))))</f>
      </c>
      <c r="N16" s="80">
        <f>IF(N$14="","",(IF(O$14="",1-ocdf(cut8,Sbase),ocdf(cut9,Sbase)-ocdf(cut8,Sbase))))</f>
      </c>
      <c r="O16" s="81">
        <f>IF(O$14="","",(IF(P$14="",1-ocdf(cut9,Sbase),ocdf(cut10,Sbase)-ocdf(cut9,Sbase))))</f>
      </c>
      <c r="Q16" s="82" t="str">
        <f>RHV</f>
        <v>YR89</v>
      </c>
      <c r="R16" s="82">
        <f>IF(Bval="","",+Bval)</f>
        <v>0.4</v>
      </c>
    </row>
    <row r="17" spans="2:18" ht="12.75" customHeight="1">
      <c r="B17" s="19"/>
      <c r="C17" s="83"/>
      <c r="D17" s="84"/>
      <c r="E17" s="164" t="s">
        <v>3</v>
      </c>
      <c r="F17" s="79">
        <f>ocdf(+Cut1,+Smean)</f>
        <v>0.11368811877919503</v>
      </c>
      <c r="G17" s="80">
        <f>IF(G$14="","",(IF(H$14="",1-ocdf(Cut1,Smean),ocdf(cut2,Smean)-ocdf(Cut1,Smean))))</f>
        <v>0.3316289778721978</v>
      </c>
      <c r="H17" s="80">
        <f>IF(H$14="","",(IF(I$14="",1-ocdf(cut2,Smean),ocdf(cut3,Smean)-ocdf(cut2,Smean))))</f>
        <v>0.39671017631526206</v>
      </c>
      <c r="I17" s="80">
        <f>IF(I$14="","",(IF(J$14="",1-ocdf(cut3,Smean),ocdf(cut4,Smean)-ocdf(cut3,Smean))))</f>
        <v>0.15797272703334508</v>
      </c>
      <c r="J17" s="80">
        <f>IF(J$14="","",(IF(K$14="",1-ocdf(cut4,Smean),ocdf(cut5,Smean)-ocdf(cut4,Smean))))</f>
      </c>
      <c r="K17" s="80">
        <f>IF(K$14="","",(IF(L$14="",1-ocdf(cut5,Smean),ocdf(cut6,Smean)-ocdf(cut5,Smean))))</f>
      </c>
      <c r="L17" s="80">
        <f>IF(L$14="","",(IF(M$14="",1-ocdf(cut6,Smean),ocdf(cut7,Smean)-ocdf(cut6,Smean))))</f>
      </c>
      <c r="M17" s="80">
        <f>IF(M$14="","",(IF(N$14="",1-ocdf(cut7,Smean),ocdf(cut8,Smean)-ocdf(cut7,Smean))))</f>
      </c>
      <c r="N17" s="80">
        <f>IF(N$14="","",(IF(O$14="",1-ocdf(cut8,Smean),ocdf(cut9,Smean)-ocdf(cut8,Smean))))</f>
      </c>
      <c r="O17" s="81">
        <f>IF(O$14="","",(IF(P$14="",1-ocdf(cut9,Smean),ocdf(cut10,Smean)-ocdf(cut9,Smean))))</f>
      </c>
      <c r="Q17" s="85" t="str">
        <f>IF(RHV="","",+RHV)</f>
        <v>MALE</v>
      </c>
      <c r="R17" s="85">
        <f aca="true" t="shared" si="0" ref="R17:R65">IF(Bval="","",+Bval)</f>
        <v>0.47</v>
      </c>
    </row>
    <row r="18" spans="2:18" ht="12.75" customHeight="1">
      <c r="B18" s="19"/>
      <c r="C18" s="83"/>
      <c r="D18" s="84"/>
      <c r="E18" s="164" t="s">
        <v>9</v>
      </c>
      <c r="F18" s="79">
        <f>ocdf(+Cut1,+Smin)</f>
        <v>0.10517523894931682</v>
      </c>
      <c r="G18" s="80">
        <f>IF(G$14="","",(IF(H$14="",1-ocdf(Cut1,Smin),ocdf(cut2,Smin)-ocdf(Cut1,Smin))))</f>
        <v>0.31867193427939444</v>
      </c>
      <c r="H18" s="80">
        <f>IF(H$14="","",(IF(I$14="",1-ocdf(cut2,Smin),ocdf(cut3,Smin)-ocdf(cut2,Smin))))</f>
        <v>0.4062054133886021</v>
      </c>
      <c r="I18" s="80">
        <f>IF(I$14="","",(IF(J$14="",1-ocdf(cut3,Smin),ocdf(cut4,Smin)-ocdf(cut3,Smin))))</f>
        <v>0.1699474133826866</v>
      </c>
      <c r="J18" s="80">
        <f>IF(J$14="","",(IF(K$14="",1-ocdf(cut4,Smin),ocdf(cut5,Smin)-ocdf(cut4,Smin))))</f>
      </c>
      <c r="K18" s="80">
        <f>IF(K$14="","",(IF(L$14="",1-ocdf(cut5,Smin),ocdf(cut6,Smin)-ocdf(cut5,Smin))))</f>
      </c>
      <c r="L18" s="80">
        <f>IF(L$14="","",(IF(M$14="",1-ocdf(cut6,Smin),ocdf(cut7,Smin)-ocdf(cut6,Smin))))</f>
      </c>
      <c r="M18" s="80">
        <f>IF(M$14="","",(IF(N$14="",1-ocdf(cut7,Smin),ocdf(cut8,Smin)-ocdf(cut7,Smin))))</f>
      </c>
      <c r="N18" s="80">
        <f>IF(N$14="","",(IF(O$14="",1-ocdf(cut8,Smin),ocdf(cut9,Smin)-ocdf(cut8,Smin))))</f>
      </c>
      <c r="O18" s="81">
        <f>IF(O$14="","",(IF(P$14="",1-ocdf(cut9,Smin),ocdf(cut10,Smin)-ocdf(cut9,Smin))))</f>
      </c>
      <c r="Q18" s="85" t="str">
        <f aca="true" t="shared" si="1" ref="Q18:Q65">IF(RHV="","",+RHV)</f>
        <v>WHITE</v>
      </c>
      <c r="R18" s="85">
        <f t="shared" si="0"/>
        <v>0.88</v>
      </c>
    </row>
    <row r="19" spans="2:18" ht="12.75" customHeight="1">
      <c r="B19" s="19"/>
      <c r="C19" s="86"/>
      <c r="D19" s="87"/>
      <c r="E19" s="165" t="s">
        <v>10</v>
      </c>
      <c r="F19" s="88">
        <f>ocdf(+Cut1,+Smax)</f>
        <v>0.1494399976617643</v>
      </c>
      <c r="G19" s="89">
        <f>IF(G$14="","",(IF(H$14="",1-ocdf(Cut1,Smax),ocdf(cut2,Smax)-ocdf(Cut1,Smax))))</f>
        <v>0.37429215646479674</v>
      </c>
      <c r="H19" s="89">
        <f>IF(H$14="","",(IF(I$14="",1-ocdf(cut2,Smax),ocdf(cut3,Smax)-ocdf(cut2,Smax))))</f>
        <v>0.3557992323552609</v>
      </c>
      <c r="I19" s="89">
        <f>IF(I$14="","",(IF(J$14="",1-ocdf(cut3,Smax),ocdf(cut4,Smax)-ocdf(cut3,Smax))))</f>
        <v>0.12046861351817806</v>
      </c>
      <c r="J19" s="89">
        <f>IF(J$14="","",(IF(K$14="",1-ocdf(cut4,Smax),ocdf(cut5,Smax)-ocdf(cut4,Smax))))</f>
      </c>
      <c r="K19" s="89">
        <f>IF(K$14="","",(IF(L$14="",1-ocdf(cut5,Smax),ocdf(cut6,Smax)-ocdf(cut5,Smax))))</f>
      </c>
      <c r="L19" s="89">
        <f>IF(L$14="","",(IF(M$14="",1-ocdf(cut6,Smax),ocdf(cut7,Smax)-ocdf(cut6,Smax))))</f>
      </c>
      <c r="M19" s="89">
        <f>IF(M$14="","",(IF(N$14="",1-ocdf(cut7,Smax),ocdf(cut8,Smax)-ocdf(cut7,Smax))))</f>
      </c>
      <c r="N19" s="89">
        <f>IF(N$14="","",(IF(O$14="",1-ocdf(cut8,Smax),ocdf(cut9,Smax)-ocdf(cut8,Smax))))</f>
      </c>
      <c r="O19" s="90">
        <f>IF(O$14="","",(IF(P$14="",1-ocdf(cut9,Smax),ocdf(cut10,Smax)-ocdf(cut9,Smax))))</f>
      </c>
      <c r="Q19" s="85" t="str">
        <f t="shared" si="1"/>
        <v>AGE</v>
      </c>
      <c r="R19" s="85">
        <f t="shared" si="0"/>
        <v>44.94</v>
      </c>
    </row>
    <row r="20" spans="2:18" ht="16.5" customHeight="1">
      <c r="B20" s="19"/>
      <c r="C20" s="91" t="s">
        <v>40</v>
      </c>
      <c r="D20" s="20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4"/>
      <c r="Q20" s="85" t="str">
        <f t="shared" si="1"/>
        <v>ED</v>
      </c>
      <c r="R20" s="85">
        <f t="shared" si="0"/>
        <v>12.22</v>
      </c>
    </row>
    <row r="21" spans="2:18" ht="15" customHeight="1">
      <c r="B21" s="19"/>
      <c r="C21" s="83"/>
      <c r="D21" s="95" t="s">
        <v>41</v>
      </c>
      <c r="E21" s="20"/>
      <c r="F21" s="20"/>
      <c r="G21" s="20"/>
      <c r="H21" s="20"/>
      <c r="I21" s="20"/>
      <c r="J21" s="20"/>
      <c r="K21" s="20"/>
      <c r="O21" s="96"/>
      <c r="Q21" s="85" t="str">
        <f t="shared" si="1"/>
        <v>PRST</v>
      </c>
      <c r="R21" s="85">
        <f t="shared" si="0"/>
        <v>39.59</v>
      </c>
    </row>
    <row r="22" spans="2:18" ht="18.75" customHeight="1">
      <c r="B22" s="19"/>
      <c r="C22" s="97"/>
      <c r="D22" s="20"/>
      <c r="E22" s="20"/>
      <c r="F22" s="85" t="s">
        <v>42</v>
      </c>
      <c r="G22" s="20"/>
      <c r="H22" s="20"/>
      <c r="J22" s="20"/>
      <c r="K22" s="20"/>
      <c r="O22" s="96"/>
      <c r="Q22" s="85">
        <f t="shared" si="1"/>
      </c>
      <c r="R22" s="85">
        <f t="shared" si="0"/>
      </c>
    </row>
    <row r="23" spans="2:18" ht="15" customHeight="1">
      <c r="B23" s="19"/>
      <c r="C23" s="97"/>
      <c r="D23" s="27"/>
      <c r="E23" s="27"/>
      <c r="F23" s="98" t="str">
        <f>cat1</f>
        <v>SD</v>
      </c>
      <c r="G23" s="98" t="str">
        <f>cat2</f>
        <v>DA</v>
      </c>
      <c r="H23" s="98" t="str">
        <f>IF(cat3="","",cat3)</f>
        <v>AG</v>
      </c>
      <c r="I23" s="98" t="str">
        <f>IF(cat4="","",cat4)</f>
        <v>SA</v>
      </c>
      <c r="J23" s="98">
        <f>IF(cat5="","",cat5)</f>
      </c>
      <c r="K23" s="98">
        <f>IF(cat6="","",cat6)</f>
      </c>
      <c r="L23" s="98">
        <f>IF(cat7="","",cat7)</f>
      </c>
      <c r="M23" s="98">
        <f>IF(cat8="","",cat8)</f>
      </c>
      <c r="N23" s="98">
        <f>IF(cat9="","",cat9)</f>
      </c>
      <c r="O23" s="99">
        <f>IF(cat10="","",cat10)</f>
      </c>
      <c r="Q23" s="85">
        <f t="shared" si="1"/>
      </c>
      <c r="R23" s="85">
        <f t="shared" si="0"/>
      </c>
    </row>
    <row r="24" spans="3:18" ht="12.75">
      <c r="C24" s="100"/>
      <c r="D24" s="41"/>
      <c r="E24" s="42">
        <v>0</v>
      </c>
      <c r="F24" s="166">
        <f aca="true" t="shared" si="2" ref="F24:F38">IF(ChV="","",+ocdf(+Cut1,+Sumc))</f>
        <v>0.13657772682367905</v>
      </c>
      <c r="G24" s="167">
        <f aca="true" t="shared" si="3" ref="G24:G38">IF(OR(ChV="",G$14=""),"",(IF(H$14="",1-ocdf(Cut1,+Sumc),ocdf(cut2,+Sumc)-ocdf(Cut1,+Sumc))))</f>
        <v>0.36091979407200736</v>
      </c>
      <c r="H24" s="167">
        <f aca="true" t="shared" si="4" ref="H24:H38">IF(OR(ChV="",H$14=""),"",(IF(I$14="",1-ocdf(cut2,+Sumc),ocdf(cut3,+Sumc)-ocdf(cut2,+Sumc))))</f>
        <v>0.3704566657880408</v>
      </c>
      <c r="I24" s="167">
        <f aca="true" t="shared" si="5" ref="I24:I38">IF(OR(ChV="",I$14=""),"",(IF(J$14="",1-ocdf(cut3,+Sumc),ocdf(cut4,+Sumc)-ocdf(cut3,+Sumc))))</f>
        <v>0.13204581331627274</v>
      </c>
      <c r="J24" s="167">
        <f aca="true" t="shared" si="6" ref="J24:J38">IF(OR(ChV="",J$14=""),"",(IF(K$14="",1-ocdf(cut4,+Sumc),ocdf(cut5,+Sumc)-ocdf(cut4,+Sumc))))</f>
      </c>
      <c r="K24" s="167">
        <f aca="true" t="shared" si="7" ref="K24:K38">IF(OR(ChV="",K$14=""),"",(IF(L$14="",1-ocdf(cut5,+Sumc),ocdf(cut6,+Sumc)-ocdf(cut5,+Sumc))))</f>
      </c>
      <c r="L24" s="167">
        <f aca="true" t="shared" si="8" ref="L24:L38">IF(OR(ChV="",L$14=""),"",(IF(M$14="",1-ocdf(cut6,+Sumc),ocdf(cut7,+Sumc)-ocdf(cut6,+Sumc))))</f>
      </c>
      <c r="M24" s="167">
        <f aca="true" t="shared" si="9" ref="M24:M38">IF(OR(ChV="",M$14=""),"",(IF(N$14="",1-ocdf(cut7,+Sumc),ocdf(cut8,+Sumc)-ocdf(cut7,+Sumc))))</f>
      </c>
      <c r="N24" s="167">
        <f aca="true" t="shared" si="10" ref="N24:N38">IF(OR(ChV="",N$14=""),"",(IF(O$14="",1-ocdf(cut8,+Sumc),ocdf(cut9,+Sumc)-ocdf(cut8,+Sumc))))</f>
      </c>
      <c r="O24" s="168">
        <f aca="true" t="shared" si="11" ref="O24:O38">IF(OR(ChV="",O$14=""),"",(IF(P$14="",1-ocdf(cut9,+Sumc),ocdf(cut10,+Sumc)-ocdf(cut9,+Sumc))))</f>
      </c>
      <c r="Q24" s="85">
        <f t="shared" si="1"/>
      </c>
      <c r="R24" s="85">
        <f t="shared" si="0"/>
      </c>
    </row>
    <row r="25" spans="3:18" ht="12.75">
      <c r="C25" s="101"/>
      <c r="D25" s="43"/>
      <c r="E25" s="44">
        <v>1</v>
      </c>
      <c r="F25" s="169">
        <f t="shared" si="2"/>
        <v>0.0856448475088525</v>
      </c>
      <c r="G25" s="170">
        <f t="shared" si="3"/>
        <v>0.2839372583046982</v>
      </c>
      <c r="H25" s="170">
        <f t="shared" si="4"/>
        <v>0.4260133914035681</v>
      </c>
      <c r="I25" s="170">
        <f t="shared" si="5"/>
        <v>0.20440450278288125</v>
      </c>
      <c r="J25" s="170">
        <f t="shared" si="6"/>
      </c>
      <c r="K25" s="170">
        <f t="shared" si="7"/>
      </c>
      <c r="L25" s="170">
        <f t="shared" si="8"/>
      </c>
      <c r="M25" s="170">
        <f t="shared" si="9"/>
      </c>
      <c r="N25" s="170">
        <f t="shared" si="10"/>
      </c>
      <c r="O25" s="171">
        <f t="shared" si="11"/>
      </c>
      <c r="Q25" s="85">
        <f t="shared" si="1"/>
      </c>
      <c r="R25" s="85">
        <f t="shared" si="0"/>
      </c>
    </row>
    <row r="26" spans="3:18" ht="12.75">
      <c r="C26" s="102" t="s">
        <v>43</v>
      </c>
      <c r="D26" s="45" t="s">
        <v>97</v>
      </c>
      <c r="E26" s="44"/>
      <c r="F26" s="169">
        <f t="shared" si="2"/>
      </c>
      <c r="G26" s="170">
        <f t="shared" si="3"/>
      </c>
      <c r="H26" s="170">
        <f t="shared" si="4"/>
      </c>
      <c r="I26" s="170">
        <f t="shared" si="5"/>
      </c>
      <c r="J26" s="170">
        <f t="shared" si="6"/>
      </c>
      <c r="K26" s="170">
        <f t="shared" si="7"/>
      </c>
      <c r="L26" s="170">
        <f t="shared" si="8"/>
      </c>
      <c r="M26" s="170">
        <f t="shared" si="9"/>
      </c>
      <c r="N26" s="170">
        <f t="shared" si="10"/>
      </c>
      <c r="O26" s="171">
        <f t="shared" si="11"/>
      </c>
      <c r="Q26" s="85">
        <f t="shared" si="1"/>
      </c>
      <c r="R26" s="85">
        <f t="shared" si="0"/>
      </c>
    </row>
    <row r="27" spans="3:18" ht="12.75">
      <c r="C27" s="103"/>
      <c r="D27" s="46"/>
      <c r="E27" s="44"/>
      <c r="F27" s="169">
        <f t="shared" si="2"/>
      </c>
      <c r="G27" s="170">
        <f t="shared" si="3"/>
      </c>
      <c r="H27" s="170">
        <f t="shared" si="4"/>
      </c>
      <c r="I27" s="170">
        <f t="shared" si="5"/>
      </c>
      <c r="J27" s="170">
        <f t="shared" si="6"/>
      </c>
      <c r="K27" s="170">
        <f t="shared" si="7"/>
      </c>
      <c r="L27" s="170">
        <f t="shared" si="8"/>
      </c>
      <c r="M27" s="170">
        <f t="shared" si="9"/>
      </c>
      <c r="N27" s="170">
        <f t="shared" si="10"/>
      </c>
      <c r="O27" s="171">
        <f t="shared" si="11"/>
      </c>
      <c r="Q27" s="85">
        <f t="shared" si="1"/>
      </c>
      <c r="R27" s="85">
        <f t="shared" si="0"/>
      </c>
    </row>
    <row r="28" spans="3:18" ht="12.75">
      <c r="C28" s="103"/>
      <c r="D28" s="46"/>
      <c r="E28" s="44"/>
      <c r="F28" s="172">
        <f t="shared" si="2"/>
      </c>
      <c r="G28" s="173">
        <f t="shared" si="3"/>
      </c>
      <c r="H28" s="173">
        <f t="shared" si="4"/>
      </c>
      <c r="I28" s="173">
        <f t="shared" si="5"/>
      </c>
      <c r="J28" s="173">
        <f t="shared" si="6"/>
      </c>
      <c r="K28" s="173">
        <f t="shared" si="7"/>
      </c>
      <c r="L28" s="173">
        <f t="shared" si="8"/>
      </c>
      <c r="M28" s="173">
        <f t="shared" si="9"/>
      </c>
      <c r="N28" s="173">
        <f t="shared" si="10"/>
      </c>
      <c r="O28" s="174">
        <f t="shared" si="11"/>
      </c>
      <c r="Q28" s="85">
        <f t="shared" si="1"/>
      </c>
      <c r="R28" s="85">
        <f t="shared" si="0"/>
      </c>
    </row>
    <row r="29" spans="3:18" ht="12.75">
      <c r="C29" s="104"/>
      <c r="D29" s="47"/>
      <c r="E29" s="48">
        <v>0</v>
      </c>
      <c r="F29" s="169">
        <f t="shared" si="2"/>
        <v>0.0833161682794427</v>
      </c>
      <c r="G29" s="170">
        <f t="shared" si="3"/>
        <v>0.27927853990728746</v>
      </c>
      <c r="H29" s="170">
        <f t="shared" si="4"/>
        <v>0.4280606051205044</v>
      </c>
      <c r="I29" s="170">
        <f t="shared" si="5"/>
        <v>0.2093446866927654</v>
      </c>
      <c r="J29" s="170">
        <f t="shared" si="6"/>
      </c>
      <c r="K29" s="170">
        <f t="shared" si="7"/>
      </c>
      <c r="L29" s="170">
        <f t="shared" si="8"/>
      </c>
      <c r="M29" s="170">
        <f t="shared" si="9"/>
      </c>
      <c r="N29" s="170">
        <f t="shared" si="10"/>
      </c>
      <c r="O29" s="171">
        <f t="shared" si="11"/>
      </c>
      <c r="Q29" s="85">
        <f t="shared" si="1"/>
      </c>
      <c r="R29" s="85">
        <f t="shared" si="0"/>
      </c>
    </row>
    <row r="30" spans="3:18" ht="12.75">
      <c r="C30" s="101"/>
      <c r="D30" s="43"/>
      <c r="E30" s="44">
        <v>1</v>
      </c>
      <c r="F30" s="169">
        <f t="shared" si="2"/>
        <v>0.15907589456703244</v>
      </c>
      <c r="G30" s="170">
        <f t="shared" si="3"/>
        <v>0.38304404633098954</v>
      </c>
      <c r="H30" s="170">
        <f t="shared" si="4"/>
        <v>0.345022592908931</v>
      </c>
      <c r="I30" s="170">
        <f t="shared" si="5"/>
        <v>0.11285746619304704</v>
      </c>
      <c r="J30" s="170">
        <f t="shared" si="6"/>
      </c>
      <c r="K30" s="170">
        <f t="shared" si="7"/>
      </c>
      <c r="L30" s="170">
        <f t="shared" si="8"/>
      </c>
      <c r="M30" s="170">
        <f t="shared" si="9"/>
      </c>
      <c r="N30" s="170">
        <f t="shared" si="10"/>
      </c>
      <c r="O30" s="171">
        <f t="shared" si="11"/>
      </c>
      <c r="Q30" s="85">
        <f t="shared" si="1"/>
      </c>
      <c r="R30" s="85">
        <f t="shared" si="0"/>
      </c>
    </row>
    <row r="31" spans="3:18" ht="12.75">
      <c r="C31" s="102" t="s">
        <v>45</v>
      </c>
      <c r="D31" s="45" t="s">
        <v>98</v>
      </c>
      <c r="E31" s="44"/>
      <c r="F31" s="169">
        <f t="shared" si="2"/>
      </c>
      <c r="G31" s="170">
        <f t="shared" si="3"/>
      </c>
      <c r="H31" s="170">
        <f t="shared" si="4"/>
      </c>
      <c r="I31" s="170">
        <f t="shared" si="5"/>
      </c>
      <c r="J31" s="170">
        <f t="shared" si="6"/>
      </c>
      <c r="K31" s="170">
        <f t="shared" si="7"/>
      </c>
      <c r="L31" s="170">
        <f t="shared" si="8"/>
      </c>
      <c r="M31" s="170">
        <f t="shared" si="9"/>
      </c>
      <c r="N31" s="170">
        <f t="shared" si="10"/>
      </c>
      <c r="O31" s="171">
        <f t="shared" si="11"/>
      </c>
      <c r="Q31" s="85">
        <f t="shared" si="1"/>
      </c>
      <c r="R31" s="85">
        <f t="shared" si="0"/>
      </c>
    </row>
    <row r="32" spans="3:18" ht="12.75">
      <c r="C32" s="103"/>
      <c r="D32" s="46"/>
      <c r="E32" s="44"/>
      <c r="F32" s="169">
        <f t="shared" si="2"/>
      </c>
      <c r="G32" s="170">
        <f t="shared" si="3"/>
      </c>
      <c r="H32" s="170">
        <f t="shared" si="4"/>
      </c>
      <c r="I32" s="170">
        <f t="shared" si="5"/>
      </c>
      <c r="J32" s="170">
        <f t="shared" si="6"/>
      </c>
      <c r="K32" s="170">
        <f t="shared" si="7"/>
      </c>
      <c r="L32" s="170">
        <f t="shared" si="8"/>
      </c>
      <c r="M32" s="170">
        <f t="shared" si="9"/>
      </c>
      <c r="N32" s="170">
        <f t="shared" si="10"/>
      </c>
      <c r="O32" s="171">
        <f t="shared" si="11"/>
      </c>
      <c r="Q32" s="85">
        <f t="shared" si="1"/>
      </c>
      <c r="R32" s="85">
        <f t="shared" si="0"/>
      </c>
    </row>
    <row r="33" spans="3:18" ht="12.75">
      <c r="C33" s="105"/>
      <c r="D33" s="49"/>
      <c r="E33" s="50"/>
      <c r="F33" s="172">
        <f t="shared" si="2"/>
      </c>
      <c r="G33" s="173">
        <f t="shared" si="3"/>
      </c>
      <c r="H33" s="173">
        <f t="shared" si="4"/>
      </c>
      <c r="I33" s="173">
        <f t="shared" si="5"/>
      </c>
      <c r="J33" s="173">
        <f t="shared" si="6"/>
      </c>
      <c r="K33" s="173">
        <f t="shared" si="7"/>
      </c>
      <c r="L33" s="173">
        <f t="shared" si="8"/>
      </c>
      <c r="M33" s="173">
        <f t="shared" si="9"/>
      </c>
      <c r="N33" s="173">
        <f t="shared" si="10"/>
      </c>
      <c r="O33" s="174">
        <f t="shared" si="11"/>
      </c>
      <c r="Q33" s="85">
        <f t="shared" si="1"/>
      </c>
      <c r="R33" s="85">
        <f t="shared" si="0"/>
      </c>
    </row>
    <row r="34" spans="3:18" ht="12.75">
      <c r="C34" s="103"/>
      <c r="D34" s="46"/>
      <c r="E34" s="44">
        <v>0</v>
      </c>
      <c r="F34" s="169">
        <f t="shared" si="2"/>
        <v>0.0833490152355432</v>
      </c>
      <c r="G34" s="170">
        <f t="shared" si="3"/>
        <v>0.279345080329773</v>
      </c>
      <c r="H34" s="170">
        <f t="shared" si="4"/>
        <v>0.42803238222676143</v>
      </c>
      <c r="I34" s="170">
        <f t="shared" si="5"/>
        <v>0.2092735222079224</v>
      </c>
      <c r="J34" s="170">
        <f t="shared" si="6"/>
      </c>
      <c r="K34" s="170">
        <f t="shared" si="7"/>
      </c>
      <c r="L34" s="170">
        <f t="shared" si="8"/>
      </c>
      <c r="M34" s="170">
        <f t="shared" si="9"/>
      </c>
      <c r="N34" s="170">
        <f t="shared" si="10"/>
      </c>
      <c r="O34" s="171">
        <f t="shared" si="11"/>
      </c>
      <c r="Q34" s="85">
        <f t="shared" si="1"/>
      </c>
      <c r="R34" s="85">
        <f t="shared" si="0"/>
      </c>
    </row>
    <row r="35" spans="3:18" ht="12.75">
      <c r="C35" s="101"/>
      <c r="D35" s="43"/>
      <c r="E35" s="44">
        <v>1</v>
      </c>
      <c r="F35" s="169">
        <f t="shared" si="2"/>
        <v>0.11850230240007303</v>
      </c>
      <c r="G35" s="170">
        <f t="shared" si="3"/>
        <v>0.338432168871528</v>
      </c>
      <c r="H35" s="170">
        <f t="shared" si="4"/>
        <v>0.39123429071977134</v>
      </c>
      <c r="I35" s="170">
        <f t="shared" si="5"/>
        <v>0.15183123800862763</v>
      </c>
      <c r="J35" s="170">
        <f t="shared" si="6"/>
      </c>
      <c r="K35" s="170">
        <f t="shared" si="7"/>
      </c>
      <c r="L35" s="170">
        <f t="shared" si="8"/>
      </c>
      <c r="M35" s="170">
        <f t="shared" si="9"/>
      </c>
      <c r="N35" s="170">
        <f t="shared" si="10"/>
      </c>
      <c r="O35" s="171">
        <f t="shared" si="11"/>
      </c>
      <c r="Q35" s="85">
        <f t="shared" si="1"/>
      </c>
      <c r="R35" s="85">
        <f t="shared" si="0"/>
      </c>
    </row>
    <row r="36" spans="3:18" ht="12.75">
      <c r="C36" s="102" t="s">
        <v>46</v>
      </c>
      <c r="D36" s="45" t="s">
        <v>44</v>
      </c>
      <c r="E36" s="44"/>
      <c r="F36" s="169">
        <f t="shared" si="2"/>
      </c>
      <c r="G36" s="170">
        <f t="shared" si="3"/>
      </c>
      <c r="H36" s="170">
        <f t="shared" si="4"/>
      </c>
      <c r="I36" s="170">
        <f t="shared" si="5"/>
      </c>
      <c r="J36" s="170">
        <f t="shared" si="6"/>
      </c>
      <c r="K36" s="170">
        <f t="shared" si="7"/>
      </c>
      <c r="L36" s="170">
        <f t="shared" si="8"/>
      </c>
      <c r="M36" s="170">
        <f t="shared" si="9"/>
      </c>
      <c r="N36" s="170">
        <f t="shared" si="10"/>
      </c>
      <c r="O36" s="171">
        <f t="shared" si="11"/>
      </c>
      <c r="Q36" s="85">
        <f t="shared" si="1"/>
      </c>
      <c r="R36" s="85">
        <f t="shared" si="0"/>
      </c>
    </row>
    <row r="37" spans="3:18" ht="12.75">
      <c r="C37" s="103"/>
      <c r="D37" s="46"/>
      <c r="E37" s="44"/>
      <c r="F37" s="169">
        <f t="shared" si="2"/>
      </c>
      <c r="G37" s="170">
        <f t="shared" si="3"/>
      </c>
      <c r="H37" s="170">
        <f t="shared" si="4"/>
      </c>
      <c r="I37" s="170">
        <f t="shared" si="5"/>
      </c>
      <c r="J37" s="170">
        <f t="shared" si="6"/>
      </c>
      <c r="K37" s="170">
        <f t="shared" si="7"/>
      </c>
      <c r="L37" s="170">
        <f t="shared" si="8"/>
      </c>
      <c r="M37" s="170">
        <f t="shared" si="9"/>
      </c>
      <c r="N37" s="170">
        <f t="shared" si="10"/>
      </c>
      <c r="O37" s="171">
        <f t="shared" si="11"/>
      </c>
      <c r="Q37" s="85">
        <f t="shared" si="1"/>
      </c>
      <c r="R37" s="85">
        <f t="shared" si="0"/>
      </c>
    </row>
    <row r="38" spans="3:18" ht="12.75">
      <c r="C38" s="106"/>
      <c r="D38" s="51"/>
      <c r="E38" s="52"/>
      <c r="F38" s="175">
        <f t="shared" si="2"/>
      </c>
      <c r="G38" s="176">
        <f t="shared" si="3"/>
      </c>
      <c r="H38" s="176">
        <f t="shared" si="4"/>
      </c>
      <c r="I38" s="176">
        <f t="shared" si="5"/>
      </c>
      <c r="J38" s="176">
        <f t="shared" si="6"/>
      </c>
      <c r="K38" s="176">
        <f t="shared" si="7"/>
      </c>
      <c r="L38" s="176">
        <f t="shared" si="8"/>
      </c>
      <c r="M38" s="176">
        <f t="shared" si="9"/>
      </c>
      <c r="N38" s="176">
        <f t="shared" si="10"/>
      </c>
      <c r="O38" s="177">
        <f t="shared" si="11"/>
      </c>
      <c r="Q38" s="85">
        <f t="shared" si="1"/>
      </c>
      <c r="R38" s="85">
        <f t="shared" si="0"/>
      </c>
    </row>
    <row r="39" spans="3:18" ht="12.75">
      <c r="C39" s="107"/>
      <c r="D39" s="77"/>
      <c r="E39" s="77"/>
      <c r="O39" s="96"/>
      <c r="Q39" s="85">
        <f t="shared" si="1"/>
      </c>
      <c r="R39" s="85">
        <f t="shared" si="0"/>
      </c>
    </row>
    <row r="40" spans="3:18" ht="12.75">
      <c r="C40" s="97"/>
      <c r="D40" s="20"/>
      <c r="E40" s="20"/>
      <c r="F40" s="85" t="s">
        <v>125</v>
      </c>
      <c r="G40" s="20"/>
      <c r="H40" s="20"/>
      <c r="J40" s="20"/>
      <c r="K40" s="20"/>
      <c r="O40" s="96"/>
      <c r="Q40" s="85">
        <f t="shared" si="1"/>
      </c>
      <c r="R40" s="85">
        <f t="shared" si="0"/>
      </c>
    </row>
    <row r="41" spans="3:18" ht="12.75">
      <c r="C41" s="97"/>
      <c r="D41" s="27"/>
      <c r="E41" s="27"/>
      <c r="F41" s="98" t="str">
        <f>cat1</f>
        <v>SD</v>
      </c>
      <c r="G41" s="98" t="str">
        <f>cat2</f>
        <v>DA</v>
      </c>
      <c r="H41" s="98" t="str">
        <f>IF(cat3="","",cat3)</f>
        <v>AG</v>
      </c>
      <c r="I41" s="98" t="str">
        <f>IF(cat4="","",cat4)</f>
        <v>SA</v>
      </c>
      <c r="J41" s="98">
        <f>IF(cat5="","",cat5)</f>
      </c>
      <c r="K41" s="98">
        <f>IF(cat6="","",cat6)</f>
      </c>
      <c r="L41" s="98">
        <f>IF(cat7="","",cat7)</f>
      </c>
      <c r="M41" s="98">
        <f>IF(cat8="","",cat8)</f>
      </c>
      <c r="N41" s="98">
        <f>IF(cat9="","",cat9)</f>
      </c>
      <c r="O41" s="99">
        <f>IF(cat10="","",cat10)</f>
      </c>
      <c r="Q41" s="85">
        <f t="shared" si="1"/>
      </c>
      <c r="R41" s="85">
        <f t="shared" si="0"/>
      </c>
    </row>
    <row r="42" spans="3:18" ht="12.75">
      <c r="C42" s="100"/>
      <c r="D42" s="41"/>
      <c r="E42" s="108">
        <f>IF(E24="","",E24)</f>
        <v>0</v>
      </c>
      <c r="F42" s="166">
        <f>IF(F24="","",F24)</f>
        <v>0.13657772682367905</v>
      </c>
      <c r="G42" s="167">
        <f aca="true" t="shared" si="12" ref="G42:O42">IF(G24="","",F42+G24)</f>
        <v>0.49749752089568644</v>
      </c>
      <c r="H42" s="167">
        <f t="shared" si="12"/>
        <v>0.8679541866837273</v>
      </c>
      <c r="I42" s="167">
        <f t="shared" si="12"/>
        <v>1</v>
      </c>
      <c r="J42" s="167">
        <f t="shared" si="12"/>
      </c>
      <c r="K42" s="167">
        <f t="shared" si="12"/>
      </c>
      <c r="L42" s="167">
        <f t="shared" si="12"/>
      </c>
      <c r="M42" s="167">
        <f t="shared" si="12"/>
      </c>
      <c r="N42" s="167">
        <f t="shared" si="12"/>
      </c>
      <c r="O42" s="168">
        <f t="shared" si="12"/>
      </c>
      <c r="Q42" s="85">
        <f t="shared" si="1"/>
      </c>
      <c r="R42" s="85">
        <f t="shared" si="0"/>
      </c>
    </row>
    <row r="43" spans="3:18" ht="12.75">
      <c r="C43" s="101"/>
      <c r="D43" s="43"/>
      <c r="E43" s="109">
        <f aca="true" t="shared" si="13" ref="E43:F56">IF(E25="","",E25)</f>
        <v>1</v>
      </c>
      <c r="F43" s="169">
        <f t="shared" si="13"/>
        <v>0.0856448475088525</v>
      </c>
      <c r="G43" s="170">
        <f aca="true" t="shared" si="14" ref="G43:O43">IF(G25="","",F43+G25)</f>
        <v>0.36958210581355067</v>
      </c>
      <c r="H43" s="170">
        <f t="shared" si="14"/>
        <v>0.7955954972171188</v>
      </c>
      <c r="I43" s="170">
        <f t="shared" si="14"/>
        <v>1</v>
      </c>
      <c r="J43" s="170">
        <f t="shared" si="14"/>
      </c>
      <c r="K43" s="170">
        <f t="shared" si="14"/>
      </c>
      <c r="L43" s="170">
        <f t="shared" si="14"/>
      </c>
      <c r="M43" s="170">
        <f t="shared" si="14"/>
      </c>
      <c r="N43" s="170">
        <f t="shared" si="14"/>
      </c>
      <c r="O43" s="171">
        <f t="shared" si="14"/>
      </c>
      <c r="Q43" s="85">
        <f t="shared" si="1"/>
      </c>
      <c r="R43" s="85">
        <f t="shared" si="0"/>
      </c>
    </row>
    <row r="44" spans="3:18" ht="12.75">
      <c r="C44" s="102" t="s">
        <v>43</v>
      </c>
      <c r="D44" s="110" t="str">
        <f>+IF(D26="","",D26)</f>
        <v>yr89</v>
      </c>
      <c r="E44" s="109">
        <f t="shared" si="13"/>
      </c>
      <c r="F44" s="169">
        <f t="shared" si="13"/>
      </c>
      <c r="G44" s="170">
        <f aca="true" t="shared" si="15" ref="G44:O44">IF(G26="","",F44+G26)</f>
      </c>
      <c r="H44" s="170">
        <f t="shared" si="15"/>
      </c>
      <c r="I44" s="170">
        <f t="shared" si="15"/>
      </c>
      <c r="J44" s="170">
        <f t="shared" si="15"/>
      </c>
      <c r="K44" s="170">
        <f t="shared" si="15"/>
      </c>
      <c r="L44" s="170">
        <f t="shared" si="15"/>
      </c>
      <c r="M44" s="170">
        <f t="shared" si="15"/>
      </c>
      <c r="N44" s="170">
        <f t="shared" si="15"/>
      </c>
      <c r="O44" s="171">
        <f t="shared" si="15"/>
      </c>
      <c r="Q44" s="85">
        <f t="shared" si="1"/>
      </c>
      <c r="R44" s="85">
        <f t="shared" si="0"/>
      </c>
    </row>
    <row r="45" spans="3:18" ht="12.75">
      <c r="C45" s="103"/>
      <c r="D45" s="46"/>
      <c r="E45" s="109">
        <f t="shared" si="13"/>
      </c>
      <c r="F45" s="169">
        <f t="shared" si="13"/>
      </c>
      <c r="G45" s="170">
        <f aca="true" t="shared" si="16" ref="G45:O45">IF(G27="","",F45+G27)</f>
      </c>
      <c r="H45" s="170">
        <f t="shared" si="16"/>
      </c>
      <c r="I45" s="170">
        <f t="shared" si="16"/>
      </c>
      <c r="J45" s="170">
        <f t="shared" si="16"/>
      </c>
      <c r="K45" s="170">
        <f t="shared" si="16"/>
      </c>
      <c r="L45" s="170">
        <f t="shared" si="16"/>
      </c>
      <c r="M45" s="170">
        <f t="shared" si="16"/>
      </c>
      <c r="N45" s="170">
        <f t="shared" si="16"/>
      </c>
      <c r="O45" s="171">
        <f t="shared" si="16"/>
      </c>
      <c r="Q45" s="85">
        <f t="shared" si="1"/>
      </c>
      <c r="R45" s="85">
        <f t="shared" si="0"/>
      </c>
    </row>
    <row r="46" spans="3:18" ht="12.75">
      <c r="C46" s="103"/>
      <c r="D46" s="46"/>
      <c r="E46" s="111">
        <f t="shared" si="13"/>
      </c>
      <c r="F46" s="172">
        <f t="shared" si="13"/>
      </c>
      <c r="G46" s="173">
        <f aca="true" t="shared" si="17" ref="G46:O46">IF(G28="","",F46+G28)</f>
      </c>
      <c r="H46" s="173">
        <f t="shared" si="17"/>
      </c>
      <c r="I46" s="173">
        <f t="shared" si="17"/>
      </c>
      <c r="J46" s="173">
        <f t="shared" si="17"/>
      </c>
      <c r="K46" s="173">
        <f t="shared" si="17"/>
      </c>
      <c r="L46" s="173">
        <f t="shared" si="17"/>
      </c>
      <c r="M46" s="173">
        <f t="shared" si="17"/>
      </c>
      <c r="N46" s="173">
        <f t="shared" si="17"/>
      </c>
      <c r="O46" s="174">
        <f t="shared" si="17"/>
      </c>
      <c r="Q46" s="85">
        <f t="shared" si="1"/>
      </c>
      <c r="R46" s="85">
        <f t="shared" si="0"/>
      </c>
    </row>
    <row r="47" spans="3:18" ht="12.75">
      <c r="C47" s="104"/>
      <c r="D47" s="47"/>
      <c r="E47" s="112">
        <f t="shared" si="13"/>
        <v>0</v>
      </c>
      <c r="F47" s="169">
        <f t="shared" si="13"/>
        <v>0.0833161682794427</v>
      </c>
      <c r="G47" s="170">
        <f aca="true" t="shared" si="18" ref="G47:O47">IF(G29="","",F47+G29)</f>
        <v>0.3625947081867302</v>
      </c>
      <c r="H47" s="170">
        <f t="shared" si="18"/>
        <v>0.7906553133072346</v>
      </c>
      <c r="I47" s="170">
        <f t="shared" si="18"/>
        <v>1</v>
      </c>
      <c r="J47" s="170">
        <f t="shared" si="18"/>
      </c>
      <c r="K47" s="170">
        <f t="shared" si="18"/>
      </c>
      <c r="L47" s="170">
        <f t="shared" si="18"/>
      </c>
      <c r="M47" s="170">
        <f t="shared" si="18"/>
      </c>
      <c r="N47" s="170">
        <f t="shared" si="18"/>
      </c>
      <c r="O47" s="171">
        <f t="shared" si="18"/>
      </c>
      <c r="Q47" s="85">
        <f t="shared" si="1"/>
      </c>
      <c r="R47" s="85">
        <f t="shared" si="0"/>
      </c>
    </row>
    <row r="48" spans="3:18" ht="12.75">
      <c r="C48" s="101"/>
      <c r="D48" s="43"/>
      <c r="E48" s="109">
        <f t="shared" si="13"/>
        <v>1</v>
      </c>
      <c r="F48" s="169">
        <f t="shared" si="13"/>
        <v>0.15907589456703244</v>
      </c>
      <c r="G48" s="170">
        <f aca="true" t="shared" si="19" ref="G48:O48">IF(G30="","",F48+G30)</f>
        <v>0.542119940898022</v>
      </c>
      <c r="H48" s="170">
        <f t="shared" si="19"/>
        <v>0.887142533806953</v>
      </c>
      <c r="I48" s="170">
        <f t="shared" si="19"/>
        <v>1</v>
      </c>
      <c r="J48" s="170">
        <f t="shared" si="19"/>
      </c>
      <c r="K48" s="170">
        <f t="shared" si="19"/>
      </c>
      <c r="L48" s="170">
        <f t="shared" si="19"/>
      </c>
      <c r="M48" s="170">
        <f t="shared" si="19"/>
      </c>
      <c r="N48" s="170">
        <f t="shared" si="19"/>
      </c>
      <c r="O48" s="171">
        <f t="shared" si="19"/>
      </c>
      <c r="Q48" s="85">
        <f t="shared" si="1"/>
      </c>
      <c r="R48" s="85">
        <f t="shared" si="0"/>
      </c>
    </row>
    <row r="49" spans="3:18" ht="12.75">
      <c r="C49" s="102" t="s">
        <v>45</v>
      </c>
      <c r="D49" s="110" t="str">
        <f>IF(D31="","",D31)</f>
        <v>male</v>
      </c>
      <c r="E49" s="109">
        <f t="shared" si="13"/>
      </c>
      <c r="F49" s="169">
        <f t="shared" si="13"/>
      </c>
      <c r="G49" s="170">
        <f aca="true" t="shared" si="20" ref="G49:O49">IF(G31="","",F49+G31)</f>
      </c>
      <c r="H49" s="170">
        <f t="shared" si="20"/>
      </c>
      <c r="I49" s="170">
        <f t="shared" si="20"/>
      </c>
      <c r="J49" s="170">
        <f t="shared" si="20"/>
      </c>
      <c r="K49" s="170">
        <f t="shared" si="20"/>
      </c>
      <c r="L49" s="170">
        <f t="shared" si="20"/>
      </c>
      <c r="M49" s="170">
        <f t="shared" si="20"/>
      </c>
      <c r="N49" s="170">
        <f t="shared" si="20"/>
      </c>
      <c r="O49" s="171">
        <f t="shared" si="20"/>
      </c>
      <c r="Q49" s="85">
        <f t="shared" si="1"/>
      </c>
      <c r="R49" s="85">
        <f t="shared" si="0"/>
      </c>
    </row>
    <row r="50" spans="3:18" ht="12.75">
      <c r="C50" s="103"/>
      <c r="D50" s="46"/>
      <c r="E50" s="109">
        <f t="shared" si="13"/>
      </c>
      <c r="F50" s="169">
        <f t="shared" si="13"/>
      </c>
      <c r="G50" s="170">
        <f aca="true" t="shared" si="21" ref="G50:O50">IF(G32="","",F50+G32)</f>
      </c>
      <c r="H50" s="170">
        <f t="shared" si="21"/>
      </c>
      <c r="I50" s="170">
        <f t="shared" si="21"/>
      </c>
      <c r="J50" s="170">
        <f t="shared" si="21"/>
      </c>
      <c r="K50" s="170">
        <f t="shared" si="21"/>
      </c>
      <c r="L50" s="170">
        <f t="shared" si="21"/>
      </c>
      <c r="M50" s="170">
        <f t="shared" si="21"/>
      </c>
      <c r="N50" s="170">
        <f t="shared" si="21"/>
      </c>
      <c r="O50" s="171">
        <f t="shared" si="21"/>
      </c>
      <c r="Q50" s="85">
        <f t="shared" si="1"/>
      </c>
      <c r="R50" s="85">
        <f t="shared" si="0"/>
      </c>
    </row>
    <row r="51" spans="3:18" ht="12.75">
      <c r="C51" s="105"/>
      <c r="D51" s="49"/>
      <c r="E51" s="111">
        <f t="shared" si="13"/>
      </c>
      <c r="F51" s="172">
        <f t="shared" si="13"/>
      </c>
      <c r="G51" s="173">
        <f aca="true" t="shared" si="22" ref="G51:O51">IF(G33="","",F51+G33)</f>
      </c>
      <c r="H51" s="173">
        <f t="shared" si="22"/>
      </c>
      <c r="I51" s="173">
        <f t="shared" si="22"/>
      </c>
      <c r="J51" s="173">
        <f t="shared" si="22"/>
      </c>
      <c r="K51" s="173">
        <f t="shared" si="22"/>
      </c>
      <c r="L51" s="173">
        <f t="shared" si="22"/>
      </c>
      <c r="M51" s="173">
        <f t="shared" si="22"/>
      </c>
      <c r="N51" s="173">
        <f t="shared" si="22"/>
      </c>
      <c r="O51" s="174">
        <f t="shared" si="22"/>
      </c>
      <c r="Q51" s="85">
        <f t="shared" si="1"/>
      </c>
      <c r="R51" s="85">
        <f t="shared" si="0"/>
      </c>
    </row>
    <row r="52" spans="3:18" ht="12.75">
      <c r="C52" s="103"/>
      <c r="D52" s="46"/>
      <c r="E52" s="112">
        <f t="shared" si="13"/>
        <v>0</v>
      </c>
      <c r="F52" s="169">
        <f t="shared" si="13"/>
        <v>0.0833490152355432</v>
      </c>
      <c r="G52" s="170">
        <f aca="true" t="shared" si="23" ref="G52:O52">IF(G34="","",F52+G34)</f>
        <v>0.3626940955653162</v>
      </c>
      <c r="H52" s="170">
        <f t="shared" si="23"/>
        <v>0.7907264777920776</v>
      </c>
      <c r="I52" s="170">
        <f t="shared" si="23"/>
        <v>1</v>
      </c>
      <c r="J52" s="170">
        <f t="shared" si="23"/>
      </c>
      <c r="K52" s="170">
        <f t="shared" si="23"/>
      </c>
      <c r="L52" s="170">
        <f t="shared" si="23"/>
      </c>
      <c r="M52" s="170">
        <f t="shared" si="23"/>
      </c>
      <c r="N52" s="170">
        <f t="shared" si="23"/>
      </c>
      <c r="O52" s="171">
        <f t="shared" si="23"/>
      </c>
      <c r="Q52" s="85">
        <f t="shared" si="1"/>
      </c>
      <c r="R52" s="85">
        <f t="shared" si="0"/>
      </c>
    </row>
    <row r="53" spans="3:18" ht="12.75">
      <c r="C53" s="101"/>
      <c r="D53" s="43"/>
      <c r="E53" s="109">
        <f t="shared" si="13"/>
        <v>1</v>
      </c>
      <c r="F53" s="169">
        <f t="shared" si="13"/>
        <v>0.11850230240007303</v>
      </c>
      <c r="G53" s="170">
        <f aca="true" t="shared" si="24" ref="G53:O53">IF(G35="","",F53+G35)</f>
        <v>0.45693447127160103</v>
      </c>
      <c r="H53" s="170">
        <f t="shared" si="24"/>
        <v>0.8481687619913724</v>
      </c>
      <c r="I53" s="170">
        <f t="shared" si="24"/>
        <v>1</v>
      </c>
      <c r="J53" s="170">
        <f t="shared" si="24"/>
      </c>
      <c r="K53" s="170">
        <f t="shared" si="24"/>
      </c>
      <c r="L53" s="170">
        <f t="shared" si="24"/>
      </c>
      <c r="M53" s="170">
        <f t="shared" si="24"/>
      </c>
      <c r="N53" s="170">
        <f t="shared" si="24"/>
      </c>
      <c r="O53" s="171">
        <f t="shared" si="24"/>
      </c>
      <c r="Q53" s="85">
        <f t="shared" si="1"/>
      </c>
      <c r="R53" s="85">
        <f t="shared" si="0"/>
      </c>
    </row>
    <row r="54" spans="3:18" ht="12.75">
      <c r="C54" s="102" t="s">
        <v>46</v>
      </c>
      <c r="D54" s="110" t="str">
        <f>IF(D36="","",D36)</f>
        <v>white</v>
      </c>
      <c r="E54" s="109">
        <f t="shared" si="13"/>
      </c>
      <c r="F54" s="169">
        <f t="shared" si="13"/>
      </c>
      <c r="G54" s="170">
        <f aca="true" t="shared" si="25" ref="G54:O54">IF(G36="","",F54+G36)</f>
      </c>
      <c r="H54" s="170">
        <f t="shared" si="25"/>
      </c>
      <c r="I54" s="170">
        <f t="shared" si="25"/>
      </c>
      <c r="J54" s="170">
        <f t="shared" si="25"/>
      </c>
      <c r="K54" s="170">
        <f t="shared" si="25"/>
      </c>
      <c r="L54" s="170">
        <f t="shared" si="25"/>
      </c>
      <c r="M54" s="170">
        <f t="shared" si="25"/>
      </c>
      <c r="N54" s="170">
        <f t="shared" si="25"/>
      </c>
      <c r="O54" s="171">
        <f t="shared" si="25"/>
      </c>
      <c r="Q54" s="85">
        <f t="shared" si="1"/>
      </c>
      <c r="R54" s="85">
        <f t="shared" si="0"/>
      </c>
    </row>
    <row r="55" spans="3:18" ht="12.75">
      <c r="C55" s="103"/>
      <c r="D55" s="46"/>
      <c r="E55" s="109">
        <f t="shared" si="13"/>
      </c>
      <c r="F55" s="169">
        <f t="shared" si="13"/>
      </c>
      <c r="G55" s="170">
        <f aca="true" t="shared" si="26" ref="G55:O55">IF(G37="","",F55+G37)</f>
      </c>
      <c r="H55" s="170">
        <f t="shared" si="26"/>
      </c>
      <c r="I55" s="170">
        <f t="shared" si="26"/>
      </c>
      <c r="J55" s="170">
        <f t="shared" si="26"/>
      </c>
      <c r="K55" s="170">
        <f t="shared" si="26"/>
      </c>
      <c r="L55" s="170">
        <f t="shared" si="26"/>
      </c>
      <c r="M55" s="170">
        <f t="shared" si="26"/>
      </c>
      <c r="N55" s="170">
        <f t="shared" si="26"/>
      </c>
      <c r="O55" s="171">
        <f t="shared" si="26"/>
      </c>
      <c r="Q55" s="85">
        <f t="shared" si="1"/>
      </c>
      <c r="R55" s="85">
        <f t="shared" si="0"/>
      </c>
    </row>
    <row r="56" spans="3:18" ht="12.75">
      <c r="C56" s="106"/>
      <c r="D56" s="51"/>
      <c r="E56" s="113">
        <f t="shared" si="13"/>
      </c>
      <c r="F56" s="175">
        <f t="shared" si="13"/>
      </c>
      <c r="G56" s="176">
        <f aca="true" t="shared" si="27" ref="G56:O56">IF(G38="","",F56+G38)</f>
      </c>
      <c r="H56" s="176">
        <f t="shared" si="27"/>
      </c>
      <c r="I56" s="176">
        <f t="shared" si="27"/>
      </c>
      <c r="J56" s="176">
        <f t="shared" si="27"/>
      </c>
      <c r="K56" s="176">
        <f t="shared" si="27"/>
      </c>
      <c r="L56" s="176">
        <f t="shared" si="27"/>
      </c>
      <c r="M56" s="176">
        <f t="shared" si="27"/>
      </c>
      <c r="N56" s="176">
        <f t="shared" si="27"/>
      </c>
      <c r="O56" s="177">
        <f t="shared" si="27"/>
      </c>
      <c r="Q56" s="85">
        <f t="shared" si="1"/>
      </c>
      <c r="R56" s="85">
        <f t="shared" si="0"/>
      </c>
    </row>
    <row r="57" spans="17:18" ht="12.75">
      <c r="Q57" s="85">
        <f t="shared" si="1"/>
      </c>
      <c r="R57" s="85">
        <f t="shared" si="0"/>
      </c>
    </row>
    <row r="58" spans="17:18" ht="12.75">
      <c r="Q58" s="85">
        <f t="shared" si="1"/>
      </c>
      <c r="R58" s="85">
        <f t="shared" si="0"/>
      </c>
    </row>
    <row r="59" spans="17:18" ht="12.75">
      <c r="Q59" s="85">
        <f t="shared" si="1"/>
      </c>
      <c r="R59" s="85">
        <f t="shared" si="0"/>
      </c>
    </row>
    <row r="60" spans="17:18" ht="12.75">
      <c r="Q60" s="85">
        <f t="shared" si="1"/>
      </c>
      <c r="R60" s="85">
        <f t="shared" si="0"/>
      </c>
    </row>
    <row r="61" spans="17:18" ht="12.75">
      <c r="Q61" s="85">
        <f t="shared" si="1"/>
      </c>
      <c r="R61" s="85">
        <f t="shared" si="0"/>
      </c>
    </row>
    <row r="62" spans="17:18" ht="12.75">
      <c r="Q62" s="85">
        <f t="shared" si="1"/>
      </c>
      <c r="R62" s="85">
        <f t="shared" si="0"/>
      </c>
    </row>
    <row r="63" spans="17:18" ht="12.75">
      <c r="Q63" s="85">
        <f t="shared" si="1"/>
      </c>
      <c r="R63" s="85">
        <f t="shared" si="0"/>
      </c>
    </row>
    <row r="64" spans="17:18" ht="12.75">
      <c r="Q64" s="85">
        <f t="shared" si="1"/>
      </c>
      <c r="R64" s="85">
        <f t="shared" si="0"/>
      </c>
    </row>
    <row r="65" spans="17:18" ht="12.75">
      <c r="Q65" s="114">
        <f t="shared" si="1"/>
      </c>
      <c r="R65" s="114">
        <f t="shared" si="0"/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65"/>
  <sheetViews>
    <sheetView showGridLines="0" zoomScale="95" zoomScaleNormal="95" workbookViewId="0" topLeftCell="A1">
      <selection activeCell="D7" sqref="D7"/>
    </sheetView>
  </sheetViews>
  <sheetFormatPr defaultColWidth="9.140625" defaultRowHeight="12.75"/>
  <cols>
    <col min="1" max="1" width="2.57421875" style="32" customWidth="1"/>
    <col min="2" max="7" width="9.140625" style="32" customWidth="1"/>
    <col min="8" max="8" width="9.140625" style="62" customWidth="1"/>
    <col min="9" max="22" width="9.140625" style="32" customWidth="1"/>
    <col min="23" max="23" width="12.28125" style="32" customWidth="1"/>
    <col min="24" max="29" width="9.140625" style="32" customWidth="1"/>
    <col min="30" max="16384" width="8.8515625" style="32" customWidth="1"/>
  </cols>
  <sheetData>
    <row r="1" spans="1:16" ht="21.75" customHeight="1">
      <c r="A1" s="19"/>
      <c r="B1" s="179" t="s">
        <v>17</v>
      </c>
      <c r="C1" s="180"/>
      <c r="D1" s="180"/>
      <c r="E1" s="180"/>
      <c r="F1" s="180"/>
      <c r="G1" s="180"/>
      <c r="H1" s="60" t="s">
        <v>100</v>
      </c>
      <c r="I1" s="180"/>
      <c r="J1" s="20"/>
      <c r="K1" s="20"/>
      <c r="L1" s="20"/>
      <c r="M1" s="20"/>
      <c r="N1" s="20"/>
      <c r="O1" s="20"/>
      <c r="P1" s="20"/>
    </row>
    <row r="2" spans="1:16" ht="15" customHeight="1">
      <c r="A2" s="19"/>
      <c r="B2" s="20"/>
      <c r="C2" s="22" t="s">
        <v>38</v>
      </c>
      <c r="D2" s="4"/>
      <c r="E2" s="180"/>
      <c r="F2" s="180"/>
      <c r="G2" s="180"/>
      <c r="H2" s="180"/>
      <c r="I2" s="181"/>
      <c r="J2" s="20"/>
      <c r="K2" s="20"/>
      <c r="L2" s="20"/>
      <c r="M2" s="20"/>
      <c r="N2" s="20"/>
      <c r="O2" s="20"/>
      <c r="P2" s="20"/>
    </row>
    <row r="3" spans="1:16" ht="15" customHeight="1">
      <c r="A3" s="19"/>
      <c r="B3" s="20"/>
      <c r="C3" s="24" t="s">
        <v>37</v>
      </c>
      <c r="D3" s="59"/>
      <c r="E3" s="182"/>
      <c r="F3" s="182"/>
      <c r="G3" s="182"/>
      <c r="H3" s="182"/>
      <c r="I3" s="181"/>
      <c r="J3" s="35"/>
      <c r="K3" s="20" t="s">
        <v>110</v>
      </c>
      <c r="L3" s="20"/>
      <c r="M3" s="20"/>
      <c r="N3" s="20"/>
      <c r="O3" s="20"/>
      <c r="P3" s="20"/>
    </row>
    <row r="4" spans="1:16" ht="15" customHeight="1">
      <c r="A4" s="19"/>
      <c r="B4" s="20"/>
      <c r="C4" s="24" t="s">
        <v>116</v>
      </c>
      <c r="E4" s="34"/>
      <c r="F4" s="34"/>
      <c r="G4" s="34"/>
      <c r="H4" s="34"/>
      <c r="I4" s="19"/>
      <c r="J4" s="34"/>
      <c r="K4" s="20"/>
      <c r="L4" s="20"/>
      <c r="M4" s="20"/>
      <c r="N4" s="20"/>
      <c r="O4" s="20"/>
      <c r="P4" s="20"/>
    </row>
    <row r="5" spans="1:35" ht="15" customHeight="1">
      <c r="A5" s="27"/>
      <c r="B5" s="27"/>
      <c r="C5" s="11"/>
      <c r="D5" s="27"/>
      <c r="E5" s="27"/>
      <c r="F5" s="27"/>
      <c r="G5" s="27"/>
      <c r="H5" s="178"/>
      <c r="I5" s="27"/>
      <c r="J5" s="178"/>
      <c r="K5" s="27"/>
      <c r="L5" s="27"/>
      <c r="M5" s="27"/>
      <c r="N5" s="27"/>
      <c r="O5" s="27"/>
      <c r="P5" s="27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16" ht="24" customHeight="1">
      <c r="A6" s="19"/>
      <c r="B6" s="128" t="s">
        <v>111</v>
      </c>
      <c r="C6" s="115"/>
      <c r="D6" s="20"/>
      <c r="E6" s="34"/>
      <c r="F6" s="34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ht="15" customHeight="1">
      <c r="A7" s="19"/>
      <c r="B7" s="186" t="s">
        <v>112</v>
      </c>
      <c r="C7" s="183"/>
      <c r="D7" s="116" t="s">
        <v>76</v>
      </c>
      <c r="E7" s="117" t="s">
        <v>49</v>
      </c>
      <c r="F7" s="118"/>
      <c r="G7" s="118"/>
      <c r="H7" s="118"/>
      <c r="I7" s="119"/>
      <c r="P7" s="20"/>
    </row>
    <row r="8" spans="1:16" ht="15" customHeight="1">
      <c r="A8" s="19"/>
      <c r="B8" s="187" t="s">
        <v>113</v>
      </c>
      <c r="C8" s="184"/>
      <c r="D8" s="120">
        <v>10</v>
      </c>
      <c r="E8" s="121" t="s">
        <v>50</v>
      </c>
      <c r="F8" s="122"/>
      <c r="G8" s="122"/>
      <c r="H8" s="122"/>
      <c r="I8" s="123"/>
      <c r="P8" s="20"/>
    </row>
    <row r="9" spans="1:16" ht="15" customHeight="1">
      <c r="A9" s="19"/>
      <c r="B9" s="187" t="s">
        <v>114</v>
      </c>
      <c r="C9" s="184"/>
      <c r="D9" s="120">
        <v>70</v>
      </c>
      <c r="E9" s="121" t="s">
        <v>51</v>
      </c>
      <c r="F9" s="122"/>
      <c r="G9" s="122"/>
      <c r="H9" s="122"/>
      <c r="I9" s="123"/>
      <c r="P9" s="20"/>
    </row>
    <row r="10" spans="1:16" ht="15" customHeight="1">
      <c r="A10" s="19"/>
      <c r="B10" s="188" t="s">
        <v>115</v>
      </c>
      <c r="C10" s="185"/>
      <c r="D10" s="124">
        <v>10</v>
      </c>
      <c r="E10" s="125" t="s">
        <v>52</v>
      </c>
      <c r="F10" s="126"/>
      <c r="G10" s="126"/>
      <c r="H10" s="126"/>
      <c r="I10" s="127"/>
      <c r="P10" s="20"/>
    </row>
    <row r="11" spans="1:12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35" ht="24" customHeight="1" thickBot="1">
      <c r="A12" s="19"/>
      <c r="B12" s="128" t="s">
        <v>95</v>
      </c>
      <c r="C12" s="19"/>
      <c r="D12" s="19"/>
      <c r="E12" s="19"/>
      <c r="F12" s="19"/>
      <c r="G12" s="19"/>
      <c r="H12" s="19"/>
      <c r="I12" s="19"/>
      <c r="J12" s="19"/>
      <c r="K12" s="19"/>
      <c r="L12" s="128" t="s">
        <v>96</v>
      </c>
      <c r="V12" s="61" t="s">
        <v>48</v>
      </c>
      <c r="W12" s="69"/>
      <c r="X12" s="19"/>
      <c r="Y12" s="61" t="s">
        <v>118</v>
      </c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ht="13.5" thickTop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V14" s="27" t="s">
        <v>117</v>
      </c>
      <c r="W14" s="189" t="s">
        <v>15</v>
      </c>
      <c r="X14" s="19"/>
      <c r="Y14" s="64" t="s">
        <v>53</v>
      </c>
      <c r="Z14" s="129" t="str">
        <f>cat1</f>
        <v>SD</v>
      </c>
      <c r="AA14" s="129" t="str">
        <f>cat2</f>
        <v>DA</v>
      </c>
      <c r="AB14" s="129" t="str">
        <f>IF(cat3="","",cat3)</f>
        <v>AG</v>
      </c>
      <c r="AC14" s="129" t="str">
        <f>IF(cat4="","",cat4)</f>
        <v>SA</v>
      </c>
      <c r="AD14" s="129">
        <f>IF(cat5="","",cat5)</f>
      </c>
      <c r="AE14" s="129">
        <f>IF(cat6="","",cat6)</f>
      </c>
      <c r="AF14" s="129">
        <f>IF(cat7="","",cat7)</f>
      </c>
      <c r="AG14" s="129">
        <f>IF(cat8="","",cat8)</f>
      </c>
      <c r="AH14" s="129">
        <f>IF(cat9="","",cat9)</f>
      </c>
      <c r="AI14" s="129">
        <f>IF(cat10="","",cat10)</f>
      </c>
    </row>
    <row r="15" spans="1:35" ht="12.75">
      <c r="A15" s="19"/>
      <c r="B15" s="19"/>
      <c r="C15" s="19"/>
      <c r="D15" s="19"/>
      <c r="V15" s="19"/>
      <c r="W15" s="130"/>
      <c r="X15" s="19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</row>
    <row r="16" spans="1:35" ht="12.75">
      <c r="A16" s="19"/>
      <c r="B16" s="19"/>
      <c r="C16" s="19"/>
      <c r="D16" s="19"/>
      <c r="V16" s="82" t="str">
        <f>RHV</f>
        <v>YR89</v>
      </c>
      <c r="W16" s="82">
        <f>IF(Bval="","",+Bval)</f>
        <v>0.4</v>
      </c>
      <c r="X16" s="19"/>
      <c r="Y16" s="132">
        <f>IF(Xval="","",Xval)</f>
        <v>10</v>
      </c>
      <c r="Z16" s="133">
        <f>IF(Xval="","",+ocdf(+Cut1,+SumP))</f>
        <v>0.05613148428170164</v>
      </c>
      <c r="AA16" s="133">
        <f>IF(OR(Xval="",AA$14=""),"",(IF(AB$14="",1-ocdf(Cut1,+SumP),ocdf(cut2,+SumP)-ocdf(Cut1,+SumP))))</f>
        <v>0.21511848266928404</v>
      </c>
      <c r="AB16" s="133">
        <f>IF(OR(Xval="",AB$14=""),"",(IF(AC$14="",1-ocdf(cut2,+SumP),ocdf(cut3,+SumP)-ocdf(cut2,+SumP))))</f>
        <v>0.4406664796054678</v>
      </c>
      <c r="AC16" s="133">
        <f>IF(OR(Xval="",AC$14=""),"",(IF(AD$14="",1-ocdf(cut3,+SumP),ocdf(cut4,+SumP)-ocdf(cut3,+SumP))))</f>
        <v>0.2880835534435465</v>
      </c>
      <c r="AD16" s="133">
        <f>IF(OR(Xval="",AD$14=""),"",(IF(AE$14="",1-ocdf(cut4,+SumP),ocdf(cut5,+SumP)-ocdf(cut4,+SumP))))</f>
      </c>
      <c r="AE16" s="133">
        <f>IF(OR(Xval="",AE$14=""),"",(IF(AF$14="",1-ocdf(cut5,+SumP),ocdf(cut6,+SumP)-ocdf(cut5,+SumP))))</f>
      </c>
      <c r="AF16" s="133">
        <f>IF(OR(Xval="",AF$14=""),"",(IF(AG$14="",1-ocdf(cut6,+SumP),ocdf(cut7,+SumP)-ocdf(cut6,+SumP))))</f>
      </c>
      <c r="AG16" s="133">
        <f>IF(OR(Xval="",AG$14=""),"",(IF(AH$14="",1-ocdf(cut7,+SumP),ocdf(cut8,+SumP)-ocdf(cut7,+SumP))))</f>
      </c>
      <c r="AH16" s="133">
        <f>IF(OR(Xval="",AH$14=""),"",(IF(AI$14="",1-ocdf(cut8,+SumP),ocdf(cut9,+SumP)-ocdf(cut8,+SumP))))</f>
      </c>
      <c r="AI16" s="133">
        <f>IF(OR(Xval="",AI$14=""),"",(IF(#REF!="",1-ocdf(cut9,+SumP),ocdf(cut10,+SumP)-ocdf(cut9,+SumP))))</f>
      </c>
    </row>
    <row r="17" spans="1:35" ht="12.75">
      <c r="A17" s="19"/>
      <c r="B17" s="19"/>
      <c r="C17" s="19"/>
      <c r="D17" s="19"/>
      <c r="V17" s="85" t="str">
        <f>IF(RHV="","",+RHV)</f>
        <v>MALE</v>
      </c>
      <c r="W17" s="85">
        <f aca="true" t="shared" si="0" ref="W17:W65">IF(Bval="","",+Bval)</f>
        <v>0.47</v>
      </c>
      <c r="X17" s="19"/>
      <c r="Y17" s="132">
        <f aca="true" t="shared" si="1" ref="Y17:Y35">IF(Xval="","",Xval)</f>
        <v>16.666666666666668</v>
      </c>
      <c r="Z17" s="133">
        <f aca="true" t="shared" si="2" ref="Z17:Z35">IF(Xval="","",+ocdf(+Cut1,+SumP))</f>
        <v>0.06442718339454732</v>
      </c>
      <c r="AA17" s="133">
        <f aca="true" t="shared" si="3" ref="AA17:AA35">IF(OR(Xval="",AA$14=""),"",(IF(AB$14="",1-ocdf(Cut1,+SumP),ocdf(cut2,+SumP)-ocdf(Cut1,+SumP))))</f>
        <v>0.23676581802929203</v>
      </c>
      <c r="AB17" s="133">
        <f aca="true" t="shared" si="4" ref="AB17:AB35">IF(OR(Xval="",AB$14=""),"",(IF(AC$14="",1-ocdf(cut2,+SumP),ocdf(cut3,+SumP)-ocdf(cut2,+SumP))))</f>
        <v>0.43984616790644454</v>
      </c>
      <c r="AC17" s="133">
        <f aca="true" t="shared" si="5" ref="AC17:AC35">IF(OR(Xval="",AC$14=""),"",(IF(AD$14="",1-ocdf(cut3,+SumP),ocdf(cut4,+SumP)-ocdf(cut3,+SumP))))</f>
        <v>0.2589608306697161</v>
      </c>
      <c r="AD17" s="133">
        <f aca="true" t="shared" si="6" ref="AD17:AD35">IF(OR(Xval="",AD$14=""),"",(IF(AE$14="",1-ocdf(cut4,+SumP),ocdf(cut5,+SumP)-ocdf(cut4,+SumP))))</f>
      </c>
      <c r="AE17" s="133">
        <f aca="true" t="shared" si="7" ref="AE17:AE35">IF(OR(Xval="",AE$14=""),"",(IF(AF$14="",1-ocdf(cut5,+SumP),ocdf(cut6,+SumP)-ocdf(cut5,+SumP))))</f>
      </c>
      <c r="AF17" s="133">
        <f aca="true" t="shared" si="8" ref="AF17:AF35">IF(OR(Xval="",AF$14=""),"",(IF(AG$14="",1-ocdf(cut6,+SumP),ocdf(cut7,+SumP)-ocdf(cut6,+SumP))))</f>
      </c>
      <c r="AG17" s="133">
        <f aca="true" t="shared" si="9" ref="AG17:AG35">IF(OR(Xval="",AG$14=""),"",(IF(AH$14="",1-ocdf(cut7,+SumP),ocdf(cut8,+SumP)-ocdf(cut7,+SumP))))</f>
      </c>
      <c r="AH17" s="133">
        <f aca="true" t="shared" si="10" ref="AH17:AH35">IF(OR(Xval="",AH$14=""),"",(IF(AI$14="",1-ocdf(cut8,+SumP),ocdf(cut9,+SumP)-ocdf(cut8,+SumP))))</f>
      </c>
      <c r="AI17" s="133">
        <f>IF(OR(Xval="",AI$14=""),"",(IF(#REF!="",1-ocdf(cut9,+SumP),ocdf(cut10,+SumP)-ocdf(cut9,+SumP))))</f>
      </c>
    </row>
    <row r="18" spans="1:35" ht="12.75">
      <c r="A18" s="19"/>
      <c r="B18" s="19"/>
      <c r="C18" s="19"/>
      <c r="D18" s="19"/>
      <c r="V18" s="85" t="str">
        <f aca="true" t="shared" si="11" ref="V18:V65">IF(RHV="","",+RHV)</f>
        <v>WHITE</v>
      </c>
      <c r="W18" s="85">
        <f t="shared" si="0"/>
        <v>0.88</v>
      </c>
      <c r="X18" s="19"/>
      <c r="Y18" s="132">
        <f t="shared" si="1"/>
        <v>23.333333333333336</v>
      </c>
      <c r="Z18" s="133">
        <f t="shared" si="2"/>
        <v>0.07385297754088081</v>
      </c>
      <c r="AA18" s="133">
        <f t="shared" si="3"/>
        <v>0.2590783691099729</v>
      </c>
      <c r="AB18" s="133">
        <f t="shared" si="4"/>
        <v>0.4352451738550009</v>
      </c>
      <c r="AC18" s="133">
        <f t="shared" si="5"/>
        <v>0.2318234794941454</v>
      </c>
      <c r="AD18" s="133">
        <f t="shared" si="6"/>
      </c>
      <c r="AE18" s="133">
        <f t="shared" si="7"/>
      </c>
      <c r="AF18" s="133">
        <f t="shared" si="8"/>
      </c>
      <c r="AG18" s="133">
        <f t="shared" si="9"/>
      </c>
      <c r="AH18" s="133">
        <f t="shared" si="10"/>
      </c>
      <c r="AI18" s="133">
        <f>IF(OR(Xval="",AI$14=""),"",(IF(#REF!="",1-ocdf(cut9,+SumP),ocdf(cut10,+SumP)-ocdf(cut9,+SumP))))</f>
      </c>
    </row>
    <row r="19" spans="1:35" ht="12.75">
      <c r="A19" s="19"/>
      <c r="B19" s="19"/>
      <c r="C19" s="19"/>
      <c r="D19" s="19"/>
      <c r="V19" s="85" t="str">
        <f t="shared" si="11"/>
        <v>AGE</v>
      </c>
      <c r="W19" s="85">
        <f t="shared" si="0"/>
        <v>44.94</v>
      </c>
      <c r="X19" s="19"/>
      <c r="Y19" s="132">
        <f t="shared" si="1"/>
        <v>30.000000000000004</v>
      </c>
      <c r="Z19" s="133">
        <f t="shared" si="2"/>
        <v>0.08453318007383974</v>
      </c>
      <c r="AA19" s="133">
        <f t="shared" si="3"/>
        <v>0.28172805290883457</v>
      </c>
      <c r="AB19" s="133">
        <f t="shared" si="4"/>
        <v>0.4270021992223888</v>
      </c>
      <c r="AC19" s="133">
        <f t="shared" si="5"/>
        <v>0.20673656779493688</v>
      </c>
      <c r="AD19" s="133">
        <f t="shared" si="6"/>
      </c>
      <c r="AE19" s="133">
        <f t="shared" si="7"/>
      </c>
      <c r="AF19" s="133">
        <f t="shared" si="8"/>
      </c>
      <c r="AG19" s="133">
        <f t="shared" si="9"/>
      </c>
      <c r="AH19" s="133">
        <f t="shared" si="10"/>
      </c>
      <c r="AI19" s="133">
        <f>IF(OR(Xval="",AI$14=""),"",(IF(#REF!="",1-ocdf(cut9,+SumP),ocdf(cut10,+SumP)-ocdf(cut9,+SumP))))</f>
      </c>
    </row>
    <row r="20" spans="1:35" ht="12.75">
      <c r="A20" s="19"/>
      <c r="B20" s="19"/>
      <c r="C20" s="19"/>
      <c r="D20" s="19"/>
      <c r="V20" s="85" t="str">
        <f t="shared" si="11"/>
        <v>ED</v>
      </c>
      <c r="W20" s="85">
        <f t="shared" si="0"/>
        <v>12.22</v>
      </c>
      <c r="X20" s="19"/>
      <c r="Y20" s="132">
        <f t="shared" si="1"/>
        <v>36.66666666666667</v>
      </c>
      <c r="Z20" s="133">
        <f t="shared" si="2"/>
        <v>0.09659680154278338</v>
      </c>
      <c r="AA20" s="133">
        <f t="shared" si="3"/>
        <v>0.30432557762601126</v>
      </c>
      <c r="AB20" s="133">
        <f t="shared" si="4"/>
        <v>0.41536243363656616</v>
      </c>
      <c r="AC20" s="133">
        <f t="shared" si="5"/>
        <v>0.1837151871946392</v>
      </c>
      <c r="AD20" s="133">
        <f t="shared" si="6"/>
      </c>
      <c r="AE20" s="133">
        <f t="shared" si="7"/>
      </c>
      <c r="AF20" s="133">
        <f t="shared" si="8"/>
      </c>
      <c r="AG20" s="133">
        <f t="shared" si="9"/>
      </c>
      <c r="AH20" s="133">
        <f t="shared" si="10"/>
      </c>
      <c r="AI20" s="133">
        <f>IF(OR(Xval="",AI$14=""),"",(IF(#REF!="",1-ocdf(cut9,+SumP),ocdf(cut10,+SumP)-ocdf(cut9,+SumP))))</f>
      </c>
    </row>
    <row r="21" spans="1:35" ht="12.75">
      <c r="A21" s="19"/>
      <c r="B21" s="19"/>
      <c r="C21" s="19"/>
      <c r="D21" s="19"/>
      <c r="V21" s="85" t="str">
        <f t="shared" si="11"/>
        <v>PRST</v>
      </c>
      <c r="W21" s="85">
        <f t="shared" si="0"/>
        <v>39.59</v>
      </c>
      <c r="X21" s="19"/>
      <c r="Y21" s="132">
        <f t="shared" si="1"/>
        <v>43.333333333333336</v>
      </c>
      <c r="Z21" s="133">
        <f t="shared" si="2"/>
        <v>0.11017481733700715</v>
      </c>
      <c r="AA21" s="133">
        <f t="shared" si="3"/>
        <v>0.32642905554519464</v>
      </c>
      <c r="AB21" s="133">
        <f t="shared" si="4"/>
        <v>0.4006646447087135</v>
      </c>
      <c r="AC21" s="133">
        <f t="shared" si="5"/>
        <v>0.16273148240908475</v>
      </c>
      <c r="AD21" s="133">
        <f t="shared" si="6"/>
      </c>
      <c r="AE21" s="133">
        <f t="shared" si="7"/>
      </c>
      <c r="AF21" s="133">
        <f t="shared" si="8"/>
      </c>
      <c r="AG21" s="133">
        <f t="shared" si="9"/>
      </c>
      <c r="AH21" s="133">
        <f t="shared" si="10"/>
      </c>
      <c r="AI21" s="133">
        <f>IF(OR(Xval="",AI$14=""),"",(IF(#REF!="",1-ocdf(cut9,+SumP),ocdf(cut10,+SumP)-ocdf(cut9,+SumP))))</f>
      </c>
    </row>
    <row r="22" spans="1:35" ht="12.75">
      <c r="A22" s="19"/>
      <c r="B22" s="19"/>
      <c r="C22" s="19"/>
      <c r="D22" s="19"/>
      <c r="V22" s="85">
        <f t="shared" si="11"/>
      </c>
      <c r="W22" s="85">
        <f t="shared" si="0"/>
      </c>
      <c r="X22" s="19"/>
      <c r="Y22" s="132">
        <f t="shared" si="1"/>
        <v>50</v>
      </c>
      <c r="Z22" s="133">
        <f t="shared" si="2"/>
        <v>0.1253964916294564</v>
      </c>
      <c r="AA22" s="133">
        <f t="shared" si="3"/>
        <v>0.3475574333613016</v>
      </c>
      <c r="AB22" s="133">
        <f t="shared" si="4"/>
        <v>0.3833235566944585</v>
      </c>
      <c r="AC22" s="133">
        <f t="shared" si="5"/>
        <v>0.14372251831478344</v>
      </c>
      <c r="AD22" s="133">
        <f t="shared" si="6"/>
      </c>
      <c r="AE22" s="133">
        <f t="shared" si="7"/>
      </c>
      <c r="AF22" s="133">
        <f t="shared" si="8"/>
      </c>
      <c r="AG22" s="133">
        <f t="shared" si="9"/>
      </c>
      <c r="AH22" s="133">
        <f t="shared" si="10"/>
      </c>
      <c r="AI22" s="133">
        <f>IF(OR(Xval="",AI$14=""),"",(IF(#REF!="",1-ocdf(cut9,+SumP),ocdf(cut10,+SumP)-ocdf(cut9,+SumP))))</f>
      </c>
    </row>
    <row r="23" spans="1:35" ht="12.75">
      <c r="A23" s="19"/>
      <c r="B23" s="19"/>
      <c r="C23" s="19"/>
      <c r="D23" s="19"/>
      <c r="V23" s="85">
        <f t="shared" si="11"/>
      </c>
      <c r="W23" s="85">
        <f t="shared" si="0"/>
      </c>
      <c r="X23" s="19"/>
      <c r="Y23" s="132">
        <f t="shared" si="1"/>
        <v>56.666666666666664</v>
      </c>
      <c r="Z23" s="133">
        <f t="shared" si="2"/>
        <v>0.1423846692186741</v>
      </c>
      <c r="AA23" s="133">
        <f t="shared" si="3"/>
        <v>0.3672083201224786</v>
      </c>
      <c r="AB23" s="133">
        <f t="shared" si="4"/>
        <v>0.3638087284277053</v>
      </c>
      <c r="AC23" s="133">
        <f t="shared" si="5"/>
        <v>0.126598282231142</v>
      </c>
      <c r="AD23" s="133">
        <f t="shared" si="6"/>
      </c>
      <c r="AE23" s="133">
        <f t="shared" si="7"/>
      </c>
      <c r="AF23" s="133">
        <f t="shared" si="8"/>
      </c>
      <c r="AG23" s="133">
        <f t="shared" si="9"/>
      </c>
      <c r="AH23" s="133">
        <f t="shared" si="10"/>
      </c>
      <c r="AI23" s="133">
        <f>IF(OR(Xval="",AI$14=""),"",(IF(#REF!="",1-ocdf(cut9,+SumP),ocdf(cut10,+SumP)-ocdf(cut9,+SumP))))</f>
      </c>
    </row>
    <row r="24" spans="1:35" ht="12.75">
      <c r="A24" s="19"/>
      <c r="B24" s="19"/>
      <c r="C24" s="19"/>
      <c r="D24" s="19"/>
      <c r="V24" s="85">
        <f t="shared" si="11"/>
      </c>
      <c r="W24" s="85">
        <f t="shared" si="0"/>
      </c>
      <c r="X24" s="19"/>
      <c r="Y24" s="132">
        <f t="shared" si="1"/>
        <v>63.33333333333333</v>
      </c>
      <c r="Z24" s="133">
        <f t="shared" si="2"/>
        <v>0.16125000891873428</v>
      </c>
      <c r="AA24" s="133">
        <f t="shared" si="3"/>
        <v>0.38487927327238514</v>
      </c>
      <c r="AB24" s="133">
        <f t="shared" si="4"/>
        <v>0.34262143693928593</v>
      </c>
      <c r="AC24" s="133">
        <f t="shared" si="5"/>
        <v>0.11124928086959462</v>
      </c>
      <c r="AD24" s="133">
        <f t="shared" si="6"/>
      </c>
      <c r="AE24" s="133">
        <f t="shared" si="7"/>
      </c>
      <c r="AF24" s="133">
        <f t="shared" si="8"/>
      </c>
      <c r="AG24" s="133">
        <f t="shared" si="9"/>
      </c>
      <c r="AH24" s="133">
        <f t="shared" si="10"/>
      </c>
      <c r="AI24" s="133">
        <f>IF(OR(Xval="",AI$14=""),"",(IF(#REF!="",1-ocdf(cut9,+SumP),ocdf(cut10,+SumP)-ocdf(cut9,+SumP))))</f>
      </c>
    </row>
    <row r="25" spans="1:35" ht="12.75">
      <c r="A25" s="19"/>
      <c r="B25" s="19"/>
      <c r="C25" s="19"/>
      <c r="D25" s="19"/>
      <c r="V25" s="85">
        <f t="shared" si="11"/>
      </c>
      <c r="W25" s="85">
        <f t="shared" si="0"/>
      </c>
      <c r="X25" s="19"/>
      <c r="Y25" s="132">
        <f t="shared" si="1"/>
        <v>70</v>
      </c>
      <c r="Z25" s="133">
        <f t="shared" si="2"/>
        <v>0.1820842267870036</v>
      </c>
      <c r="AA25" s="133">
        <f t="shared" si="3"/>
        <v>0.4000911611329124</v>
      </c>
      <c r="AB25" s="133">
        <f t="shared" si="4"/>
        <v>0.32027124737412727</v>
      </c>
      <c r="AC25" s="133">
        <f t="shared" si="5"/>
        <v>0.09755336470595677</v>
      </c>
      <c r="AD25" s="133">
        <f t="shared" si="6"/>
      </c>
      <c r="AE25" s="133">
        <f t="shared" si="7"/>
      </c>
      <c r="AF25" s="133">
        <f t="shared" si="8"/>
      </c>
      <c r="AG25" s="133">
        <f t="shared" si="9"/>
      </c>
      <c r="AH25" s="133">
        <f t="shared" si="10"/>
      </c>
      <c r="AI25" s="133">
        <f>IF(OR(Xval="",AI$14=""),"",(IF(#REF!="",1-ocdf(cut9,+SumP),ocdf(cut10,+SumP)-ocdf(cut9,+SumP))))</f>
      </c>
    </row>
    <row r="26" spans="1:35" ht="12.75">
      <c r="A26" s="19"/>
      <c r="B26" s="19"/>
      <c r="C26" s="19"/>
      <c r="D26" s="19"/>
      <c r="V26" s="85">
        <f t="shared" si="11"/>
      </c>
      <c r="W26" s="85">
        <f t="shared" si="0"/>
      </c>
      <c r="X26" s="19"/>
      <c r="Y26" s="132">
        <f t="shared" si="1"/>
      </c>
      <c r="Z26" s="133">
        <f t="shared" si="2"/>
      </c>
      <c r="AA26" s="133">
        <f t="shared" si="3"/>
      </c>
      <c r="AB26" s="133">
        <f t="shared" si="4"/>
      </c>
      <c r="AC26" s="133">
        <f t="shared" si="5"/>
      </c>
      <c r="AD26" s="133">
        <f t="shared" si="6"/>
      </c>
      <c r="AE26" s="133">
        <f t="shared" si="7"/>
      </c>
      <c r="AF26" s="133">
        <f t="shared" si="8"/>
      </c>
      <c r="AG26" s="133">
        <f t="shared" si="9"/>
      </c>
      <c r="AH26" s="133">
        <f t="shared" si="10"/>
      </c>
      <c r="AI26" s="133">
        <f>IF(OR(Xval="",AI$14=""),"",(IF(#REF!="",1-ocdf(cut9,+SumP),ocdf(cut10,+SumP)-ocdf(cut9,+SumP))))</f>
      </c>
    </row>
    <row r="27" spans="1:35" ht="12.75">
      <c r="A27" s="19"/>
      <c r="B27" s="19"/>
      <c r="C27" s="19"/>
      <c r="D27" s="19"/>
      <c r="V27" s="85">
        <f t="shared" si="11"/>
      </c>
      <c r="W27" s="85">
        <f t="shared" si="0"/>
      </c>
      <c r="X27" s="19"/>
      <c r="Y27" s="132">
        <f t="shared" si="1"/>
      </c>
      <c r="Z27" s="133">
        <f t="shared" si="2"/>
      </c>
      <c r="AA27" s="133">
        <f t="shared" si="3"/>
      </c>
      <c r="AB27" s="133">
        <f t="shared" si="4"/>
      </c>
      <c r="AC27" s="133">
        <f t="shared" si="5"/>
      </c>
      <c r="AD27" s="133">
        <f t="shared" si="6"/>
      </c>
      <c r="AE27" s="133">
        <f t="shared" si="7"/>
      </c>
      <c r="AF27" s="133">
        <f t="shared" si="8"/>
      </c>
      <c r="AG27" s="133">
        <f t="shared" si="9"/>
      </c>
      <c r="AH27" s="133">
        <f t="shared" si="10"/>
      </c>
      <c r="AI27" s="133">
        <f>IF(OR(Xval="",AI$14=""),"",(IF(#REF!="",1-ocdf(cut9,+SumP),ocdf(cut10,+SumP)-ocdf(cut9,+SumP))))</f>
      </c>
    </row>
    <row r="28" spans="1:35" ht="12.75">
      <c r="A28" s="19"/>
      <c r="B28" s="19"/>
      <c r="C28" s="19"/>
      <c r="D28" s="19"/>
      <c r="V28" s="85">
        <f t="shared" si="11"/>
      </c>
      <c r="W28" s="85">
        <f t="shared" si="0"/>
      </c>
      <c r="X28" s="19"/>
      <c r="Y28" s="132">
        <f t="shared" si="1"/>
      </c>
      <c r="Z28" s="133">
        <f t="shared" si="2"/>
      </c>
      <c r="AA28" s="133">
        <f t="shared" si="3"/>
      </c>
      <c r="AB28" s="133">
        <f t="shared" si="4"/>
      </c>
      <c r="AC28" s="133">
        <f t="shared" si="5"/>
      </c>
      <c r="AD28" s="133">
        <f t="shared" si="6"/>
      </c>
      <c r="AE28" s="133">
        <f t="shared" si="7"/>
      </c>
      <c r="AF28" s="133">
        <f t="shared" si="8"/>
      </c>
      <c r="AG28" s="133">
        <f t="shared" si="9"/>
      </c>
      <c r="AH28" s="133">
        <f t="shared" si="10"/>
      </c>
      <c r="AI28" s="133">
        <f>IF(OR(Xval="",AI$14=""),"",(IF(#REF!="",1-ocdf(cut9,+SumP),ocdf(cut10,+SumP)-ocdf(cut9,+SumP))))</f>
      </c>
    </row>
    <row r="29" spans="1:35" ht="12.75">
      <c r="A29" s="19"/>
      <c r="B29" s="19"/>
      <c r="C29" s="19"/>
      <c r="D29" s="19"/>
      <c r="V29" s="85">
        <f t="shared" si="11"/>
      </c>
      <c r="W29" s="85">
        <f t="shared" si="0"/>
      </c>
      <c r="X29" s="19"/>
      <c r="Y29" s="132">
        <f t="shared" si="1"/>
      </c>
      <c r="Z29" s="133">
        <f t="shared" si="2"/>
      </c>
      <c r="AA29" s="133">
        <f t="shared" si="3"/>
      </c>
      <c r="AB29" s="133">
        <f t="shared" si="4"/>
      </c>
      <c r="AC29" s="133">
        <f t="shared" si="5"/>
      </c>
      <c r="AD29" s="133">
        <f t="shared" si="6"/>
      </c>
      <c r="AE29" s="133">
        <f t="shared" si="7"/>
      </c>
      <c r="AF29" s="133">
        <f t="shared" si="8"/>
      </c>
      <c r="AG29" s="133">
        <f t="shared" si="9"/>
      </c>
      <c r="AH29" s="133">
        <f t="shared" si="10"/>
      </c>
      <c r="AI29" s="133">
        <f>IF(OR(Xval="",AI$14=""),"",(IF(#REF!="",1-ocdf(cut9,+SumP),ocdf(cut10,+SumP)-ocdf(cut9,+SumP))))</f>
      </c>
    </row>
    <row r="30" spans="1:35" ht="12.75">
      <c r="A30" s="19"/>
      <c r="B30" s="19"/>
      <c r="C30" s="19"/>
      <c r="D30" s="19"/>
      <c r="V30" s="85">
        <f t="shared" si="11"/>
      </c>
      <c r="W30" s="85">
        <f t="shared" si="0"/>
      </c>
      <c r="X30" s="19"/>
      <c r="Y30" s="132">
        <f t="shared" si="1"/>
      </c>
      <c r="Z30" s="133">
        <f t="shared" si="2"/>
      </c>
      <c r="AA30" s="133">
        <f t="shared" si="3"/>
      </c>
      <c r="AB30" s="133">
        <f t="shared" si="4"/>
      </c>
      <c r="AC30" s="133">
        <f t="shared" si="5"/>
      </c>
      <c r="AD30" s="133">
        <f t="shared" si="6"/>
      </c>
      <c r="AE30" s="133">
        <f t="shared" si="7"/>
      </c>
      <c r="AF30" s="133">
        <f t="shared" si="8"/>
      </c>
      <c r="AG30" s="133">
        <f t="shared" si="9"/>
      </c>
      <c r="AH30" s="133">
        <f t="shared" si="10"/>
      </c>
      <c r="AI30" s="133">
        <f>IF(OR(Xval="",AI$14=""),"",(IF(#REF!="",1-ocdf(cut9,+SumP),ocdf(cut10,+SumP)-ocdf(cut9,+SumP))))</f>
      </c>
    </row>
    <row r="31" spans="1:35" ht="12.75">
      <c r="A31" s="19"/>
      <c r="B31" s="19"/>
      <c r="C31" s="19"/>
      <c r="D31" s="19"/>
      <c r="V31" s="85">
        <f t="shared" si="11"/>
      </c>
      <c r="W31" s="85">
        <f t="shared" si="0"/>
      </c>
      <c r="X31" s="19"/>
      <c r="Y31" s="132">
        <f t="shared" si="1"/>
      </c>
      <c r="Z31" s="133">
        <f t="shared" si="2"/>
      </c>
      <c r="AA31" s="133">
        <f t="shared" si="3"/>
      </c>
      <c r="AB31" s="133">
        <f t="shared" si="4"/>
      </c>
      <c r="AC31" s="133">
        <f t="shared" si="5"/>
      </c>
      <c r="AD31" s="133">
        <f t="shared" si="6"/>
      </c>
      <c r="AE31" s="133">
        <f t="shared" si="7"/>
      </c>
      <c r="AF31" s="133">
        <f t="shared" si="8"/>
      </c>
      <c r="AG31" s="133">
        <f t="shared" si="9"/>
      </c>
      <c r="AH31" s="133">
        <f t="shared" si="10"/>
      </c>
      <c r="AI31" s="133">
        <f>IF(OR(Xval="",AI$14=""),"",(IF(#REF!="",1-ocdf(cut9,+SumP),ocdf(cut10,+SumP)-ocdf(cut9,+SumP))))</f>
      </c>
    </row>
    <row r="32" spans="1:35" ht="12.75">
      <c r="A32" s="19"/>
      <c r="B32" s="19"/>
      <c r="C32" s="19"/>
      <c r="D32" s="19"/>
      <c r="V32" s="85">
        <f t="shared" si="11"/>
      </c>
      <c r="W32" s="85">
        <f t="shared" si="0"/>
      </c>
      <c r="X32" s="19"/>
      <c r="Y32" s="132">
        <f t="shared" si="1"/>
      </c>
      <c r="Z32" s="133">
        <f t="shared" si="2"/>
      </c>
      <c r="AA32" s="133">
        <f t="shared" si="3"/>
      </c>
      <c r="AB32" s="133">
        <f t="shared" si="4"/>
      </c>
      <c r="AC32" s="133">
        <f t="shared" si="5"/>
      </c>
      <c r="AD32" s="133">
        <f t="shared" si="6"/>
      </c>
      <c r="AE32" s="133">
        <f t="shared" si="7"/>
      </c>
      <c r="AF32" s="133">
        <f t="shared" si="8"/>
      </c>
      <c r="AG32" s="133">
        <f t="shared" si="9"/>
      </c>
      <c r="AH32" s="133">
        <f t="shared" si="10"/>
      </c>
      <c r="AI32" s="133">
        <f>IF(OR(Xval="",AI$14=""),"",(IF(#REF!="",1-ocdf(cut9,+SumP),ocdf(cut10,+SumP)-ocdf(cut9,+SumP))))</f>
      </c>
    </row>
    <row r="33" spans="1:35" ht="12.75">
      <c r="A33" s="19"/>
      <c r="B33" s="19"/>
      <c r="C33" s="19"/>
      <c r="D33" s="19"/>
      <c r="V33" s="85">
        <f t="shared" si="11"/>
      </c>
      <c r="W33" s="85">
        <f t="shared" si="0"/>
      </c>
      <c r="X33" s="19"/>
      <c r="Y33" s="132">
        <f t="shared" si="1"/>
      </c>
      <c r="Z33" s="133">
        <f t="shared" si="2"/>
      </c>
      <c r="AA33" s="133">
        <f t="shared" si="3"/>
      </c>
      <c r="AB33" s="133">
        <f t="shared" si="4"/>
      </c>
      <c r="AC33" s="133">
        <f t="shared" si="5"/>
      </c>
      <c r="AD33" s="133">
        <f t="shared" si="6"/>
      </c>
      <c r="AE33" s="133">
        <f t="shared" si="7"/>
      </c>
      <c r="AF33" s="133">
        <f t="shared" si="8"/>
      </c>
      <c r="AG33" s="133">
        <f t="shared" si="9"/>
      </c>
      <c r="AH33" s="133">
        <f t="shared" si="10"/>
      </c>
      <c r="AI33" s="133">
        <f>IF(OR(Xval="",AI$14=""),"",(IF(#REF!="",1-ocdf(cut9,+SumP),ocdf(cut10,+SumP)-ocdf(cut9,+SumP))))</f>
      </c>
    </row>
    <row r="34" spans="1:35" ht="12.75">
      <c r="A34" s="19"/>
      <c r="B34" s="19"/>
      <c r="C34" s="19"/>
      <c r="D34" s="19"/>
      <c r="V34" s="85">
        <f t="shared" si="11"/>
      </c>
      <c r="W34" s="85">
        <f t="shared" si="0"/>
      </c>
      <c r="X34" s="19"/>
      <c r="Y34" s="132">
        <f t="shared" si="1"/>
      </c>
      <c r="Z34" s="133">
        <f t="shared" si="2"/>
      </c>
      <c r="AA34" s="133">
        <f t="shared" si="3"/>
      </c>
      <c r="AB34" s="133">
        <f t="shared" si="4"/>
      </c>
      <c r="AC34" s="133">
        <f t="shared" si="5"/>
      </c>
      <c r="AD34" s="133">
        <f t="shared" si="6"/>
      </c>
      <c r="AE34" s="133">
        <f t="shared" si="7"/>
      </c>
      <c r="AF34" s="133">
        <f t="shared" si="8"/>
      </c>
      <c r="AG34" s="133">
        <f t="shared" si="9"/>
      </c>
      <c r="AH34" s="133">
        <f t="shared" si="10"/>
      </c>
      <c r="AI34" s="133">
        <f>IF(OR(Xval="",AI$14=""),"",(IF(#REF!="",1-ocdf(cut9,+SumP),ocdf(cut10,+SumP)-ocdf(cut9,+SumP))))</f>
      </c>
    </row>
    <row r="35" spans="1:35" ht="12.75">
      <c r="A35" s="19"/>
      <c r="B35" s="19"/>
      <c r="C35" s="19"/>
      <c r="D35" s="19"/>
      <c r="V35" s="85">
        <f t="shared" si="11"/>
      </c>
      <c r="W35" s="85">
        <f t="shared" si="0"/>
      </c>
      <c r="X35" s="19"/>
      <c r="Y35" s="134">
        <f t="shared" si="1"/>
      </c>
      <c r="Z35" s="135">
        <f t="shared" si="2"/>
      </c>
      <c r="AA35" s="135">
        <f t="shared" si="3"/>
      </c>
      <c r="AB35" s="135">
        <f t="shared" si="4"/>
      </c>
      <c r="AC35" s="135">
        <f t="shared" si="5"/>
      </c>
      <c r="AD35" s="135">
        <f t="shared" si="6"/>
      </c>
      <c r="AE35" s="135">
        <f t="shared" si="7"/>
      </c>
      <c r="AF35" s="135">
        <f t="shared" si="8"/>
      </c>
      <c r="AG35" s="135">
        <f t="shared" si="9"/>
      </c>
      <c r="AH35" s="135">
        <f t="shared" si="10"/>
      </c>
      <c r="AI35" s="135">
        <f>IF(OR(Xval="",AI$14=""),"",(IF(#REF!="",1-ocdf(cut9,+SumP),ocdf(cut10,+SumP)-ocdf(cut9,+SumP))))</f>
      </c>
    </row>
    <row r="36" spans="1:35" ht="12.75">
      <c r="A36" s="19"/>
      <c r="B36" s="19"/>
      <c r="C36" s="19"/>
      <c r="D36" s="19"/>
      <c r="V36" s="85">
        <f t="shared" si="11"/>
      </c>
      <c r="W36" s="85">
        <f t="shared" si="0"/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22:23" ht="12.75">
      <c r="V37" s="85">
        <f t="shared" si="11"/>
      </c>
      <c r="W37" s="85">
        <f t="shared" si="0"/>
      </c>
    </row>
    <row r="38" spans="22:23" ht="12.75">
      <c r="V38" s="85">
        <f t="shared" si="11"/>
      </c>
      <c r="W38" s="85">
        <f t="shared" si="0"/>
      </c>
    </row>
    <row r="39" spans="22:23" ht="12.75">
      <c r="V39" s="85">
        <f t="shared" si="11"/>
      </c>
      <c r="W39" s="85">
        <f t="shared" si="0"/>
      </c>
    </row>
    <row r="40" spans="22:23" ht="12.75">
      <c r="V40" s="85">
        <f t="shared" si="11"/>
      </c>
      <c r="W40" s="85">
        <f t="shared" si="0"/>
      </c>
    </row>
    <row r="41" spans="22:23" ht="12.75">
      <c r="V41" s="85">
        <f t="shared" si="11"/>
      </c>
      <c r="W41" s="85">
        <f t="shared" si="0"/>
      </c>
    </row>
    <row r="42" spans="22:23" ht="12.75">
      <c r="V42" s="85">
        <f t="shared" si="11"/>
      </c>
      <c r="W42" s="85">
        <f t="shared" si="0"/>
      </c>
    </row>
    <row r="43" spans="22:23" ht="12.75">
      <c r="V43" s="85">
        <f t="shared" si="11"/>
      </c>
      <c r="W43" s="85">
        <f t="shared" si="0"/>
      </c>
    </row>
    <row r="44" spans="22:23" ht="12.75">
      <c r="V44" s="85">
        <f t="shared" si="11"/>
      </c>
      <c r="W44" s="85">
        <f t="shared" si="0"/>
      </c>
    </row>
    <row r="45" spans="22:23" ht="12.75">
      <c r="V45" s="85">
        <f t="shared" si="11"/>
      </c>
      <c r="W45" s="85">
        <f t="shared" si="0"/>
      </c>
    </row>
    <row r="46" spans="22:23" ht="12.75">
      <c r="V46" s="85">
        <f t="shared" si="11"/>
      </c>
      <c r="W46" s="85">
        <f t="shared" si="0"/>
      </c>
    </row>
    <row r="47" spans="22:23" ht="12.75">
      <c r="V47" s="85">
        <f t="shared" si="11"/>
      </c>
      <c r="W47" s="85">
        <f t="shared" si="0"/>
      </c>
    </row>
    <row r="48" spans="22:23" ht="12.75">
      <c r="V48" s="85">
        <f t="shared" si="11"/>
      </c>
      <c r="W48" s="85">
        <f t="shared" si="0"/>
      </c>
    </row>
    <row r="49" spans="22:23" ht="12.75">
      <c r="V49" s="85">
        <f t="shared" si="11"/>
      </c>
      <c r="W49" s="85">
        <f t="shared" si="0"/>
      </c>
    </row>
    <row r="50" spans="22:23" ht="12.75">
      <c r="V50" s="85">
        <f t="shared" si="11"/>
      </c>
      <c r="W50" s="85">
        <f t="shared" si="0"/>
      </c>
    </row>
    <row r="51" spans="22:23" ht="12.75">
      <c r="V51" s="85">
        <f t="shared" si="11"/>
      </c>
      <c r="W51" s="85">
        <f t="shared" si="0"/>
      </c>
    </row>
    <row r="52" spans="22:23" ht="12.75">
      <c r="V52" s="85">
        <f t="shared" si="11"/>
      </c>
      <c r="W52" s="85">
        <f t="shared" si="0"/>
      </c>
    </row>
    <row r="53" spans="22:23" ht="12.75">
      <c r="V53" s="85">
        <f t="shared" si="11"/>
      </c>
      <c r="W53" s="85">
        <f t="shared" si="0"/>
      </c>
    </row>
    <row r="54" spans="22:23" ht="12.75">
      <c r="V54" s="85">
        <f t="shared" si="11"/>
      </c>
      <c r="W54" s="85">
        <f t="shared" si="0"/>
      </c>
    </row>
    <row r="55" spans="22:23" ht="12.75">
      <c r="V55" s="85">
        <f t="shared" si="11"/>
      </c>
      <c r="W55" s="85">
        <f t="shared" si="0"/>
      </c>
    </row>
    <row r="56" spans="22:23" ht="12.75">
      <c r="V56" s="85">
        <f t="shared" si="11"/>
      </c>
      <c r="W56" s="85">
        <f t="shared" si="0"/>
      </c>
    </row>
    <row r="57" spans="22:23" ht="12.75">
      <c r="V57" s="85">
        <f t="shared" si="11"/>
      </c>
      <c r="W57" s="85">
        <f t="shared" si="0"/>
      </c>
    </row>
    <row r="58" spans="22:23" ht="12.75">
      <c r="V58" s="85">
        <f t="shared" si="11"/>
      </c>
      <c r="W58" s="85">
        <f t="shared" si="0"/>
      </c>
    </row>
    <row r="59" spans="22:23" ht="12.75">
      <c r="V59" s="85">
        <f t="shared" si="11"/>
      </c>
      <c r="W59" s="85">
        <f t="shared" si="0"/>
      </c>
    </row>
    <row r="60" spans="22:23" ht="12.75">
      <c r="V60" s="85">
        <f t="shared" si="11"/>
      </c>
      <c r="W60" s="85">
        <f t="shared" si="0"/>
      </c>
    </row>
    <row r="61" spans="22:23" ht="12.75">
      <c r="V61" s="85">
        <f t="shared" si="11"/>
      </c>
      <c r="W61" s="85">
        <f t="shared" si="0"/>
      </c>
    </row>
    <row r="62" spans="22:23" ht="12.75">
      <c r="V62" s="85">
        <f t="shared" si="11"/>
      </c>
      <c r="W62" s="85">
        <f t="shared" si="0"/>
      </c>
    </row>
    <row r="63" spans="22:23" ht="12.75">
      <c r="V63" s="85">
        <f t="shared" si="11"/>
      </c>
      <c r="W63" s="85">
        <f t="shared" si="0"/>
      </c>
    </row>
    <row r="64" spans="22:23" ht="12.75">
      <c r="V64" s="85">
        <f t="shared" si="11"/>
      </c>
      <c r="W64" s="85">
        <f t="shared" si="0"/>
      </c>
    </row>
    <row r="65" spans="22:23" ht="12.75">
      <c r="V65" s="114">
        <f t="shared" si="11"/>
      </c>
      <c r="W65" s="114">
        <f t="shared" si="0"/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Y1192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2.28125" style="38" customWidth="1"/>
    <col min="2" max="2" width="8.421875" style="38" customWidth="1"/>
    <col min="3" max="8" width="9.140625" style="38" customWidth="1"/>
    <col min="9" max="9" width="9.140625" style="154" customWidth="1"/>
    <col min="10" max="10" width="10.421875" style="38" customWidth="1"/>
    <col min="11" max="20" width="9.140625" style="38" customWidth="1"/>
    <col min="21" max="22" width="8.8515625" style="38" customWidth="1"/>
    <col min="23" max="23" width="12.57421875" style="38" customWidth="1"/>
    <col min="24" max="24" width="8.8515625" style="38" hidden="1" customWidth="1"/>
    <col min="25" max="16384" width="9.140625" style="38" customWidth="1"/>
  </cols>
  <sheetData>
    <row r="1" spans="2:24" ht="21.75" customHeight="1">
      <c r="B1" s="53" t="s">
        <v>139</v>
      </c>
      <c r="C1" s="20"/>
      <c r="D1" s="20"/>
      <c r="E1" s="20"/>
      <c r="F1" s="20"/>
      <c r="G1" s="60" t="s">
        <v>100</v>
      </c>
      <c r="H1" s="20"/>
      <c r="I1" s="20"/>
      <c r="J1" s="20"/>
      <c r="K1" s="20"/>
      <c r="L1" s="20"/>
      <c r="M1" s="20"/>
      <c r="N1" s="20"/>
      <c r="U1" s="20"/>
      <c r="V1" s="20"/>
      <c r="W1" s="54"/>
      <c r="X1" s="54"/>
    </row>
    <row r="2" spans="2:24" s="55" customFormat="1" ht="18" customHeight="1">
      <c r="B2" s="20"/>
      <c r="C2" s="22" t="s">
        <v>38</v>
      </c>
      <c r="D2" s="23"/>
      <c r="E2" s="20"/>
      <c r="F2" s="20"/>
      <c r="G2" s="20"/>
      <c r="H2" s="19"/>
      <c r="I2" s="20"/>
      <c r="J2" s="20"/>
      <c r="K2" s="20"/>
      <c r="L2" s="20"/>
      <c r="M2" s="20"/>
      <c r="N2" s="20"/>
      <c r="U2" s="20"/>
      <c r="V2" s="20"/>
      <c r="W2" s="54"/>
      <c r="X2" s="54"/>
    </row>
    <row r="3" spans="2:24" ht="15" customHeight="1">
      <c r="B3" s="20"/>
      <c r="C3" s="190" t="s">
        <v>119</v>
      </c>
      <c r="D3" s="33" t="s">
        <v>136</v>
      </c>
      <c r="E3" s="34"/>
      <c r="F3" s="19"/>
      <c r="G3" s="19"/>
      <c r="H3" s="19"/>
      <c r="I3" s="19"/>
      <c r="J3" s="19"/>
      <c r="K3" s="19"/>
      <c r="L3" s="19"/>
      <c r="M3" s="19"/>
      <c r="N3" s="19"/>
      <c r="U3" s="19"/>
      <c r="V3" s="20"/>
      <c r="W3" s="54"/>
      <c r="X3" s="54"/>
    </row>
    <row r="4" spans="2:24" ht="15" customHeight="1">
      <c r="B4" s="20"/>
      <c r="C4" s="56"/>
      <c r="D4" s="32" t="s">
        <v>137</v>
      </c>
      <c r="E4" s="34"/>
      <c r="F4" s="34"/>
      <c r="G4" s="34"/>
      <c r="H4" s="19"/>
      <c r="I4" s="34"/>
      <c r="J4" s="20"/>
      <c r="K4" s="20"/>
      <c r="L4" s="20"/>
      <c r="M4" s="20"/>
      <c r="N4" s="20"/>
      <c r="U4" s="20"/>
      <c r="V4" s="20"/>
      <c r="W4" s="54"/>
      <c r="X4" s="54"/>
    </row>
    <row r="5" spans="2:24" ht="15" customHeight="1">
      <c r="B5" s="19"/>
      <c r="C5" s="190" t="s">
        <v>120</v>
      </c>
      <c r="D5" s="38" t="s">
        <v>143</v>
      </c>
      <c r="H5" s="19"/>
      <c r="I5" s="19"/>
      <c r="J5" s="19"/>
      <c r="K5" s="19"/>
      <c r="L5" s="19"/>
      <c r="M5" s="19"/>
      <c r="N5" s="19"/>
      <c r="U5" s="19"/>
      <c r="V5" s="20"/>
      <c r="W5" s="54"/>
      <c r="X5" s="54"/>
    </row>
    <row r="6" spans="2:24" ht="15" customHeight="1">
      <c r="B6" s="19"/>
      <c r="C6" s="190" t="s">
        <v>144</v>
      </c>
      <c r="D6" s="19" t="s">
        <v>126</v>
      </c>
      <c r="E6" s="19"/>
      <c r="F6" s="19"/>
      <c r="G6" s="19"/>
      <c r="H6" s="19"/>
      <c r="I6" s="19"/>
      <c r="J6" s="19"/>
      <c r="K6" s="19"/>
      <c r="L6" s="19"/>
      <c r="M6" s="19"/>
      <c r="N6" s="19"/>
      <c r="U6" s="19"/>
      <c r="V6" s="20"/>
      <c r="W6" s="54"/>
      <c r="X6" s="54"/>
    </row>
    <row r="7" spans="5:24" ht="15" customHeight="1"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54"/>
      <c r="X7" s="54"/>
    </row>
    <row r="8" spans="8:24" ht="15" customHeight="1">
      <c r="H8" s="19"/>
      <c r="I8" s="19"/>
      <c r="J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  <c r="W8" s="54"/>
      <c r="X8" s="54"/>
    </row>
    <row r="9" spans="8:24" ht="15" customHeight="1">
      <c r="H9" s="19"/>
      <c r="I9" s="19"/>
      <c r="J9" s="19"/>
      <c r="K9" s="57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54"/>
      <c r="X9" s="54"/>
    </row>
    <row r="10" spans="8:24" ht="15" customHeight="1"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54"/>
      <c r="X10" s="54"/>
    </row>
    <row r="11" spans="1:24" ht="15" customHeight="1">
      <c r="A11" s="209"/>
      <c r="B11" s="209"/>
      <c r="C11" s="209"/>
      <c r="D11" s="209"/>
      <c r="E11" s="209"/>
      <c r="F11" s="209"/>
      <c r="G11" s="209"/>
      <c r="H11" s="27"/>
      <c r="I11" s="27"/>
      <c r="J11" s="4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58"/>
      <c r="X11" s="215"/>
    </row>
    <row r="12" spans="2:24" ht="24" customHeight="1" thickBot="1">
      <c r="B12" s="210" t="s">
        <v>130</v>
      </c>
      <c r="C12" s="211"/>
      <c r="D12" s="211"/>
      <c r="E12" s="211"/>
      <c r="F12" s="211"/>
      <c r="H12" s="208" t="s">
        <v>135</v>
      </c>
      <c r="I12" s="136"/>
      <c r="J12" s="136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9"/>
      <c r="V12" s="61" t="s">
        <v>134</v>
      </c>
      <c r="W12" s="69"/>
      <c r="X12" s="138"/>
    </row>
    <row r="13" spans="2:24" s="139" customFormat="1" ht="13.5" thickTop="1">
      <c r="B13" s="212"/>
      <c r="C13" s="216" t="s">
        <v>1</v>
      </c>
      <c r="D13" s="216"/>
      <c r="E13" s="217" t="s">
        <v>131</v>
      </c>
      <c r="F13" s="216" t="s">
        <v>132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9"/>
      <c r="V13" s="19"/>
      <c r="W13" s="19"/>
      <c r="X13" s="138"/>
    </row>
    <row r="14" spans="2:24" s="139" customFormat="1" ht="12.75">
      <c r="B14" s="213" t="s">
        <v>2</v>
      </c>
      <c r="C14" s="218" t="s">
        <v>133</v>
      </c>
      <c r="D14" s="218" t="s">
        <v>138</v>
      </c>
      <c r="E14" s="219" t="s">
        <v>22</v>
      </c>
      <c r="F14" s="218" t="s">
        <v>22</v>
      </c>
      <c r="H14" s="141" t="s">
        <v>2</v>
      </c>
      <c r="I14" s="141" t="s">
        <v>22</v>
      </c>
      <c r="J14" s="141" t="s">
        <v>54</v>
      </c>
      <c r="K14" s="129" t="str">
        <f>cat1</f>
        <v>SD</v>
      </c>
      <c r="L14" s="129" t="str">
        <f>cat2</f>
        <v>DA</v>
      </c>
      <c r="M14" s="129" t="str">
        <f>IF(cat3="","",cat3)</f>
        <v>AG</v>
      </c>
      <c r="N14" s="129" t="str">
        <f>IF(cat4="","",cat4)</f>
        <v>SA</v>
      </c>
      <c r="O14" s="129">
        <f>IF(cat5="","",cat5)</f>
      </c>
      <c r="P14" s="129">
        <f>IF(cat6="","",cat6)</f>
      </c>
      <c r="Q14" s="129">
        <f>IF(cat7="","",cat7)</f>
      </c>
      <c r="R14" s="129">
        <f>IF(cat8="","",cat8)</f>
      </c>
      <c r="S14" s="129">
        <f>IF(cat9="","",cat9)</f>
      </c>
      <c r="T14" s="129">
        <f>IF(cat10="","",cat10)</f>
      </c>
      <c r="U14" s="19"/>
      <c r="V14" s="27" t="s">
        <v>2</v>
      </c>
      <c r="W14" s="189" t="s">
        <v>15</v>
      </c>
      <c r="X14" s="138"/>
    </row>
    <row r="15" spans="8:24" s="139" customFormat="1" ht="12.75">
      <c r="H15" s="142"/>
      <c r="I15" s="142"/>
      <c r="J15" s="142"/>
      <c r="K15" s="143">
        <f>-opdf(Cut1,Sbase)</f>
        <v>-0.10076313042764265</v>
      </c>
      <c r="L15" s="143">
        <f>IF(L14="","",IF(M14="",opdf(Cut1,Sbase),opdf(Cut1,Sbase)-opdf(cut2,Sbase)))</f>
        <v>-0.14624664965372425</v>
      </c>
      <c r="M15" s="143">
        <f>IF(M14="","",IF(N14="",opdf(cut2,Sbase),opdf(cut2,Sbase)-opdf(cut3,Sbase)))</f>
        <v>0.11399243553437355</v>
      </c>
      <c r="N15" s="143">
        <f>IF(N14="","",IF(O14="",opdf(cut3,Sbase),opdf(cut3,Sbase)-opdf(cut4,Sbase)))</f>
        <v>0.13301734454699335</v>
      </c>
      <c r="O15" s="143">
        <f>IF(O14="","",IF(P14="",opdf(cut4,Sbase),opdf(cut4,Sbase)-opdf(cut5,Sbase)))</f>
      </c>
      <c r="P15" s="143">
        <f>IF(P14="","",IF(Q14="",opdf(cut5,Sbase),opdf(cut5,Sbase)-opdf(cut6,Sbase)))</f>
      </c>
      <c r="Q15" s="143">
        <f>IF(Q14="","",IF(R14="",opdf(cut6,Sbase),opdf(cut6,Sbase)-opdf(cut7,Sbase)))</f>
      </c>
      <c r="R15" s="143">
        <f>IF(R14="","",IF(S14="",opdf(cut7,Sbase),opdf(cut7,Sbase)-opdf(cut8,Sbase)))</f>
      </c>
      <c r="S15" s="143">
        <f>IF(S14="","",IF(T14="",opdf(cut8,Sbase),opdf(cut8,Sbase)-opdf(cut9,Sbase)))</f>
      </c>
      <c r="T15" s="143">
        <f>IF(T14="","",IF(U14="",opdf(cut9,Sbase),opdf(cut9,Sbase)-opdf(cut10,Sbase)))</f>
      </c>
      <c r="U15" s="19"/>
      <c r="V15" s="20"/>
      <c r="W15" s="20"/>
      <c r="X15" s="138"/>
    </row>
    <row r="16" spans="2:25" ht="12.75">
      <c r="B16" s="82" t="str">
        <f>RHV</f>
        <v>YR89</v>
      </c>
      <c r="C16" s="214">
        <f>b</f>
        <v>0.524</v>
      </c>
      <c r="D16" s="214">
        <f>z</f>
        <v>6.56</v>
      </c>
      <c r="E16" s="214">
        <f>EXP(b)</f>
        <v>1.6887692344784637</v>
      </c>
      <c r="F16" s="214">
        <f>EXP(b*sd)</f>
        <v>1.292734833165652</v>
      </c>
      <c r="H16" s="144" t="str">
        <f>V16</f>
        <v>YR89</v>
      </c>
      <c r="I16" s="145" t="s">
        <v>32</v>
      </c>
      <c r="J16" s="146" t="s">
        <v>36</v>
      </c>
      <c r="K16" s="133">
        <f>IF($X$16="","",$Y$16*K$15)</f>
        <v>-0.05279988034408475</v>
      </c>
      <c r="L16" s="133">
        <f aca="true" t="shared" si="0" ref="L16:T16">IF(OR(L$15="",$X$16=""),"",$Y$16*L$15)</f>
        <v>-0.0766332444185515</v>
      </c>
      <c r="M16" s="133">
        <f t="shared" si="0"/>
        <v>0.05973203622001174</v>
      </c>
      <c r="N16" s="133">
        <f t="shared" si="0"/>
        <v>0.06970108854262452</v>
      </c>
      <c r="O16" s="133">
        <f t="shared" si="0"/>
      </c>
      <c r="P16" s="133">
        <f t="shared" si="0"/>
      </c>
      <c r="Q16" s="133">
        <f t="shared" si="0"/>
      </c>
      <c r="R16" s="133">
        <f t="shared" si="0"/>
      </c>
      <c r="S16" s="133">
        <f t="shared" si="0"/>
      </c>
      <c r="T16" s="133">
        <f t="shared" si="0"/>
      </c>
      <c r="U16" s="19"/>
      <c r="V16" s="82" t="str">
        <f>RHV</f>
        <v>YR89</v>
      </c>
      <c r="W16" s="82">
        <f>IF(Bval="","",+Bval)</f>
        <v>0.4</v>
      </c>
      <c r="X16" s="147" t="str">
        <f>IF(vtype="","",vtype)</f>
        <v>B</v>
      </c>
      <c r="Y16" s="66">
        <f>IF(b="","",b)</f>
        <v>0.524</v>
      </c>
    </row>
    <row r="17" spans="2:25" ht="12.75">
      <c r="B17" s="82" t="str">
        <f>IF(RHV="","---",RHV)</f>
        <v>MALE</v>
      </c>
      <c r="C17" s="214">
        <f>IF(b="","---",b)</f>
        <v>-0.733</v>
      </c>
      <c r="D17" s="214">
        <f>IF(z="","---",z)</f>
        <v>-9.34</v>
      </c>
      <c r="E17" s="214">
        <f>IF(b="","---",EXP(b))</f>
        <v>0.48046542954342225</v>
      </c>
      <c r="F17" s="214">
        <f>IF(b="","---",EXP(b*sd))</f>
        <v>0.6931561364825549</v>
      </c>
      <c r="H17" s="144"/>
      <c r="I17" s="148" t="s">
        <v>29</v>
      </c>
      <c r="J17" s="133">
        <f>+IF(K17="","",(+ABS(IF(K17="",0,K17))+ABS(IF(L17="",0,L17))+ABS(IF(M17="",0,M17))+ABS(IF(N17="",0,N17))+ABS(IF(O17="",0,O17))+ABS(IF(P17="",0,P17))+ABS(IF(Q17="",0,Q17))+ABS(IF(R17="",0,R17))+ABS(IF(S17="",0,S17))+ABS(IF(T17="",0,T17)))/+COUNT(K17:T17))</f>
        <v>0.06395770754106787</v>
      </c>
      <c r="K17" s="133">
        <f>IF(X$16="b",Tech!J$16,"")</f>
        <v>-0.050932879314826554</v>
      </c>
      <c r="L17" s="133">
        <f>IF(X$16="b",Tech!K$16,"")</f>
        <v>-0.07698253576730918</v>
      </c>
      <c r="M17" s="133">
        <f>IF(AND(X$16="b",Tech!L$16&lt;&gt;""),Tech!L$16,"")</f>
        <v>0.05555672561552727</v>
      </c>
      <c r="N17" s="133">
        <f>IF(AND(X$16="b",Tech!M$16&lt;&gt;""),Tech!M$16,"")</f>
        <v>0.0723586894666085</v>
      </c>
      <c r="O17" s="133">
        <f>IF(AND(X$16="b",Tech!N$16&lt;&gt;""),Tech!N$16,"")</f>
      </c>
      <c r="P17" s="133">
        <f>IF(AND(X$16="b",Tech!O$16&lt;&gt;""),Tech!O$16,"")</f>
      </c>
      <c r="Q17" s="133">
        <f>IF(AND(X$16="b",Tech!P$16&lt;&gt;""),Tech!P$16,"")</f>
      </c>
      <c r="R17" s="133">
        <f>IF(AND(X$16="b",Tech!Q$16&lt;&gt;""),Tech!Q$16,"")</f>
      </c>
      <c r="S17" s="133">
        <f>IF(AND(X$16="b",Tech!R$16&lt;&gt;""),Tech!R$16,"")</f>
      </c>
      <c r="T17" s="133">
        <f>IF(AND(X$16="b",Tech!S$16&lt;&gt;""),Tech!S$16,"")</f>
      </c>
      <c r="U17" s="19"/>
      <c r="V17" s="85" t="str">
        <f>IF(RHV="","",+RHV)</f>
        <v>MALE</v>
      </c>
      <c r="W17" s="85">
        <f aca="true" t="shared" si="1" ref="W17:W65">IF(Bval="","",+Bval)</f>
        <v>0.47</v>
      </c>
      <c r="X17" s="147" t="str">
        <f>IF(vtype="","",vtype)</f>
        <v>B</v>
      </c>
      <c r="Y17" s="66">
        <f aca="true" t="shared" si="2" ref="Y17:Y65">IF(b="","",b)</f>
        <v>-0.733</v>
      </c>
    </row>
    <row r="18" spans="2:25" ht="12.75">
      <c r="B18" s="82" t="str">
        <f aca="true" t="shared" si="3" ref="B18:B65">IF(RHV="","---",RHV)</f>
        <v>WHITE</v>
      </c>
      <c r="C18" s="214">
        <f aca="true" t="shared" si="4" ref="C18:C65">IF(b="","---",b)</f>
        <v>-0.391</v>
      </c>
      <c r="D18" s="214">
        <f aca="true" t="shared" si="5" ref="D18:D65">IF(z="","---",z)</f>
        <v>-3.3</v>
      </c>
      <c r="E18" s="214">
        <f aca="true" t="shared" si="6" ref="E18:E65">IF(b="","---",EXP(b))</f>
        <v>0.6763801560392891</v>
      </c>
      <c r="F18" s="214">
        <f aca="true" t="shared" si="7" ref="F18:F65">IF(b="","---",EXP(b*sd))</f>
        <v>0.8789475967221512</v>
      </c>
      <c r="H18" s="144"/>
      <c r="I18" s="149" t="s">
        <v>34</v>
      </c>
      <c r="J18" s="133">
        <f>+IF(K18="","",(+ABS(IF(K18="",0,K18))+ABS(IF(L18="",0,L18))+ABS(IF(M18="",0,M18))+ABS(IF(N18="",0,N18))+ABS(IF(O18="",0,O18))+ABS(IF(P18="",0,P18))+ABS(IF(Q18="",0,Q18))+ABS(IF(R18="",0,R18))+ABS(IF(S18="",0,S18))+ABS(IF(T18="",0,T18)))/+COUNT(K18:T18))</f>
      </c>
      <c r="K18" s="133">
        <f>IF(X$16="c",Tech!V$16,"")</f>
      </c>
      <c r="L18" s="133">
        <f>IF(X$16="c",Tech!W$16,"")</f>
      </c>
      <c r="M18" s="133">
        <f>IF(AND(X$16="c",Tech!X$16&lt;&gt;""),Tech!X$16,"")</f>
      </c>
      <c r="N18" s="133">
        <f>IF(AND(X$16="c",Tech!Y$16&lt;&gt;""),Tech!Y$16,"")</f>
      </c>
      <c r="O18" s="133">
        <f>IF(AND(X$16="c",Tech!Z$16&lt;&gt;""),Tech!Z$16,"")</f>
      </c>
      <c r="P18" s="133">
        <f>IF(AND(X$16="c",Tech!AA$16&lt;&gt;""),Tech!AA$16,"")</f>
      </c>
      <c r="Q18" s="133">
        <f>IF(AND(X$16="c",Tech!AB$16&lt;&gt;""),Tech!AB$16,"")</f>
      </c>
      <c r="R18" s="133">
        <f>IF(AND(X$16="c",Tech!AC$16&lt;&gt;""),Tech!AC$16,"")</f>
      </c>
      <c r="S18" s="133">
        <f>IF(AND(X$16="c",Tech!AD$16&lt;&gt;""),Tech!AD$16,"")</f>
      </c>
      <c r="T18" s="133">
        <f>IF(AND(X$16="c",Tech!AE$16&lt;&gt;""),Tech!AE$16,"")</f>
      </c>
      <c r="U18" s="19"/>
      <c r="V18" s="85" t="str">
        <f aca="true" t="shared" si="8" ref="V18:V65">IF(RHV="","",+RHV)</f>
        <v>WHITE</v>
      </c>
      <c r="W18" s="85">
        <f t="shared" si="1"/>
        <v>0.88</v>
      </c>
      <c r="X18" s="147" t="str">
        <f aca="true" t="shared" si="9" ref="X18:X65">IF(vtype="","",vtype)</f>
        <v>B</v>
      </c>
      <c r="Y18" s="66">
        <f t="shared" si="2"/>
        <v>-0.391</v>
      </c>
    </row>
    <row r="19" spans="2:25" ht="12.75">
      <c r="B19" s="82" t="str">
        <f t="shared" si="3"/>
        <v>AGE</v>
      </c>
      <c r="C19" s="214">
        <f t="shared" si="4"/>
        <v>-0.022</v>
      </c>
      <c r="D19" s="214">
        <f t="shared" si="5"/>
        <v>-8.78</v>
      </c>
      <c r="E19" s="214">
        <f t="shared" si="6"/>
        <v>0.97824023505121</v>
      </c>
      <c r="F19" s="214">
        <f t="shared" si="7"/>
        <v>0.6913147912344098</v>
      </c>
      <c r="H19" s="144"/>
      <c r="I19" s="149" t="s">
        <v>35</v>
      </c>
      <c r="J19" s="133">
        <f>+IF(K19="","",(+ABS(IF(K19="",0,K19))+ABS(IF(L19="",0,L19))+ABS(IF(M19="",0,M19))+ABS(IF(N19="",0,N19))+ABS(IF(O19="",0,O19))+ABS(IF(P19="",0,P19))+ABS(IF(Q19="",0,Q19))+ABS(IF(R19="",0,R19))+ABS(IF(S19="",0,S19))+ABS(IF(T19="",0,T19)))/+COUNT(K19:T19))</f>
      </c>
      <c r="K19" s="133">
        <f>IF(X$16="c",Tech!AH$16,"")</f>
      </c>
      <c r="L19" s="133">
        <f>IF(X$16="c",Tech!AI$16,"")</f>
      </c>
      <c r="M19" s="133">
        <f>IF(AND(X$16="c",Tech!AJ$16&lt;&gt;""),Tech!AJ$16,"")</f>
      </c>
      <c r="N19" s="133">
        <f>IF(AND(X$16="c",Tech!AK$16&lt;&gt;""),Tech!AK$16,"")</f>
      </c>
      <c r="O19" s="133">
        <f>IF(AND(X$16="c",Tech!AL$16&lt;&gt;""),Tech!AL$16,"")</f>
      </c>
      <c r="P19" s="133">
        <f>IF(AND(X$16="c",Tech!AM$16&lt;&gt;""),Tech!AM$16,"")</f>
      </c>
      <c r="Q19" s="133">
        <f>IF(AND(X$16="c",Tech!AN$16&lt;&gt;""),Tech!AN$16,"")</f>
      </c>
      <c r="R19" s="133">
        <f>IF(AND(X$16="c",Tech!AO$16&lt;&gt;""),Tech!AO$16,"")</f>
      </c>
      <c r="S19" s="133">
        <f>IF(AND(X$16="c",Tech!AP$16&lt;&gt;""),Tech!AP$16,"")</f>
      </c>
      <c r="T19" s="133">
        <f>IF(AND(X$16="c",Tech!AQ$16&lt;&gt;""),Tech!AQ$16,"")</f>
      </c>
      <c r="U19" s="19"/>
      <c r="V19" s="85" t="str">
        <f t="shared" si="8"/>
        <v>AGE</v>
      </c>
      <c r="W19" s="85">
        <f t="shared" si="1"/>
        <v>44.94</v>
      </c>
      <c r="X19" s="147" t="str">
        <f t="shared" si="9"/>
        <v>C</v>
      </c>
      <c r="Y19" s="66">
        <f t="shared" si="2"/>
        <v>-0.022</v>
      </c>
    </row>
    <row r="20" spans="2:25" ht="12.75">
      <c r="B20" s="82" t="str">
        <f t="shared" si="3"/>
        <v>ED</v>
      </c>
      <c r="C20" s="214">
        <f t="shared" si="4"/>
        <v>0.067</v>
      </c>
      <c r="D20" s="214">
        <f t="shared" si="5"/>
        <v>4.2</v>
      </c>
      <c r="E20" s="214">
        <f t="shared" si="6"/>
        <v>1.0692954781746002</v>
      </c>
      <c r="F20" s="214">
        <f t="shared" si="7"/>
        <v>1.2358018121231562</v>
      </c>
      <c r="H20" s="144"/>
      <c r="I20" s="149" t="s">
        <v>33</v>
      </c>
      <c r="J20" s="133">
        <f>+IF(K20="","",(+ABS(IF(K20="",0,K20))+ABS(IF(L20="",0,L20))+ABS(IF(M20="",0,M20))+ABS(IF(N20="",0,N20))+ABS(IF(O20="",0,O20))+ABS(IF(P20="",0,P20))+ABS(IF(Q20="",0,Q20))+ABS(IF(R20="",0,R20))+ABS(IF(S20="",0,S20))+ABS(IF(T20="",0,T20)))/+COUNT(K20:T20))</f>
      </c>
      <c r="K20" s="133">
        <f>IF(X$16="c",Tech!AT$16,"")</f>
      </c>
      <c r="L20" s="133">
        <f>IF(X$16="c",Tech!AU$16,"")</f>
      </c>
      <c r="M20" s="133">
        <f>IF(AND(X$16="c",Tech!AV$16&lt;&gt;""),Tech!AV$16,"")</f>
      </c>
      <c r="N20" s="133">
        <f>IF(AND(X$16="c",Tech!AW$16&lt;&gt;""),Tech!AW$16,"")</f>
      </c>
      <c r="O20" s="133">
        <f>IF(AND(X$16="c",Tech!AX$16&lt;&gt;""),Tech!AX$16,"")</f>
      </c>
      <c r="P20" s="133">
        <f>IF(AND(X$16="c",Tech!AY$16&lt;&gt;""),Tech!AY$16,"")</f>
      </c>
      <c r="Q20" s="133">
        <f>IF(AND(X$16="c",Tech!AZ$16&lt;&gt;""),Tech!AZ$16,"")</f>
      </c>
      <c r="R20" s="133">
        <f>IF(AND(X$16="c",Tech!BA$16&lt;&gt;""),Tech!BA$16,"")</f>
      </c>
      <c r="S20" s="133">
        <f>IF(AND(X$16="c",Tech!BB$16&lt;&gt;""),Tech!BB$16,"")</f>
      </c>
      <c r="T20" s="133">
        <f>IF(AND(X$16="c",Tech!BC$16&lt;&gt;""),Tech!BC$16,"")</f>
      </c>
      <c r="U20" s="19"/>
      <c r="V20" s="85" t="str">
        <f t="shared" si="8"/>
        <v>ED</v>
      </c>
      <c r="W20" s="85">
        <f t="shared" si="1"/>
        <v>12.22</v>
      </c>
      <c r="X20" s="147" t="str">
        <f t="shared" si="9"/>
        <v>C</v>
      </c>
      <c r="Y20" s="66">
        <f t="shared" si="2"/>
        <v>0.067</v>
      </c>
    </row>
    <row r="21" spans="2:25" ht="12.75">
      <c r="B21" s="82" t="str">
        <f t="shared" si="3"/>
        <v>PRST</v>
      </c>
      <c r="C21" s="214">
        <f t="shared" si="4"/>
        <v>0.006</v>
      </c>
      <c r="D21" s="214">
        <f t="shared" si="5"/>
        <v>1.84</v>
      </c>
      <c r="E21" s="214">
        <f t="shared" si="6"/>
        <v>1.006018036054065</v>
      </c>
      <c r="F21" s="214">
        <f t="shared" si="7"/>
        <v>1.0908312278810695</v>
      </c>
      <c r="H21" s="144" t="str">
        <f>IF(V$17="","",V$17)</f>
        <v>MALE</v>
      </c>
      <c r="I21" s="145" t="s">
        <v>32</v>
      </c>
      <c r="J21" s="146" t="s">
        <v>36</v>
      </c>
      <c r="K21" s="133">
        <f>IF($X$17="","",$Y$17*K$15)</f>
        <v>0.07385937460346206</v>
      </c>
      <c r="L21" s="133">
        <f aca="true" t="shared" si="10" ref="L21:T21">IF(OR(L$15="",$X$17=""),"",$Y$17*L$15)</f>
        <v>0.10719879419617988</v>
      </c>
      <c r="M21" s="133">
        <f t="shared" si="10"/>
        <v>-0.0835564552466958</v>
      </c>
      <c r="N21" s="133">
        <f t="shared" si="10"/>
        <v>-0.09750171355294612</v>
      </c>
      <c r="O21" s="133">
        <f t="shared" si="10"/>
      </c>
      <c r="P21" s="133">
        <f t="shared" si="10"/>
      </c>
      <c r="Q21" s="133">
        <f t="shared" si="10"/>
      </c>
      <c r="R21" s="133">
        <f t="shared" si="10"/>
      </c>
      <c r="S21" s="133">
        <f t="shared" si="10"/>
      </c>
      <c r="T21" s="133">
        <f t="shared" si="10"/>
      </c>
      <c r="U21" s="19"/>
      <c r="V21" s="85" t="str">
        <f t="shared" si="8"/>
        <v>PRST</v>
      </c>
      <c r="W21" s="85">
        <f t="shared" si="1"/>
        <v>39.59</v>
      </c>
      <c r="X21" s="147" t="str">
        <f t="shared" si="9"/>
        <v>C</v>
      </c>
      <c r="Y21" s="66">
        <f t="shared" si="2"/>
        <v>0.006</v>
      </c>
    </row>
    <row r="22" spans="2:25" ht="12.75">
      <c r="B22" s="82" t="str">
        <f t="shared" si="3"/>
        <v>---</v>
      </c>
      <c r="C22" s="214" t="str">
        <f t="shared" si="4"/>
        <v>---</v>
      </c>
      <c r="D22" s="214" t="str">
        <f t="shared" si="5"/>
        <v>---</v>
      </c>
      <c r="E22" s="214" t="str">
        <f t="shared" si="6"/>
        <v>---</v>
      </c>
      <c r="F22" s="214" t="str">
        <f t="shared" si="7"/>
        <v>---</v>
      </c>
      <c r="H22" s="144"/>
      <c r="I22" s="148" t="s">
        <v>29</v>
      </c>
      <c r="J22" s="133">
        <f>+IF(K22="","",(+ABS(IF(K22="",0,K22))+ABS(IF(L22="",0,L22))+ABS(IF(M22="",0,M22))+ABS(IF(N22="",0,N22))+ABS(IF(O22="",0,O22))+ABS(IF(P22="",0,P22))+ABS(IF(Q22="",0,Q22))+ABS(IF(R22="",0,R22))+ABS(IF(S22="",0,S22))+ABS(IF(T22="",0,T22)))/+COUNT(K22:T22))</f>
        <v>0.0897626163556459</v>
      </c>
      <c r="K22" s="133">
        <f>IF(X17="b",Tech!J17,"")</f>
        <v>0.07575972628758974</v>
      </c>
      <c r="L22" s="133">
        <f>IF(X17="b",Tech!K17,"")</f>
        <v>0.10376550642370208</v>
      </c>
      <c r="M22" s="133">
        <f>IF(AND(X17="b",Tech!L17&lt;&gt;""),Tech!L17,"")</f>
        <v>-0.08303801221157342</v>
      </c>
      <c r="N22" s="133">
        <f>IF(AND(X17="b",Tech!M17&lt;&gt;""),Tech!M17,"")</f>
        <v>-0.09648722049971836</v>
      </c>
      <c r="O22" s="133">
        <f>IF(AND(X17="b",Tech!N17&lt;&gt;""),Tech!N17,"")</f>
      </c>
      <c r="P22" s="133">
        <f>IF(AND(X17="b",Tech!O17&lt;&gt;""),Tech!O17,"")</f>
      </c>
      <c r="Q22" s="133">
        <f>IF(AND(X17="b",Tech!P17&lt;&gt;""),Tech!P17,"")</f>
      </c>
      <c r="R22" s="133">
        <f>IF(AND(X17="b",Tech!Q17&lt;&gt;""),Tech!Q17,"")</f>
      </c>
      <c r="S22" s="133">
        <f>IF(AND(X17="b",Tech!R17&lt;&gt;""),Tech!R17,"")</f>
      </c>
      <c r="T22" s="133">
        <f>IF(AND(X17="b",Tech!S17&lt;&gt;""),Tech!S17,"")</f>
      </c>
      <c r="U22" s="19"/>
      <c r="V22" s="85">
        <f t="shared" si="8"/>
      </c>
      <c r="W22" s="85">
        <f t="shared" si="1"/>
      </c>
      <c r="X22" s="147">
        <f t="shared" si="9"/>
      </c>
      <c r="Y22" s="66">
        <f t="shared" si="2"/>
      </c>
    </row>
    <row r="23" spans="2:25" ht="12.75">
      <c r="B23" s="82" t="str">
        <f t="shared" si="3"/>
        <v>---</v>
      </c>
      <c r="C23" s="214" t="str">
        <f t="shared" si="4"/>
        <v>---</v>
      </c>
      <c r="D23" s="214" t="str">
        <f t="shared" si="5"/>
        <v>---</v>
      </c>
      <c r="E23" s="214" t="str">
        <f t="shared" si="6"/>
        <v>---</v>
      </c>
      <c r="F23" s="214" t="str">
        <f t="shared" si="7"/>
        <v>---</v>
      </c>
      <c r="H23" s="144"/>
      <c r="I23" s="149" t="s">
        <v>34</v>
      </c>
      <c r="J23" s="133">
        <f>+IF(K23="","",(+ABS(IF(K23="",0,K23))+ABS(IF(L23="",0,L23))+ABS(IF(M23="",0,M23))+ABS(IF(N23="",0,N23))+ABS(IF(O23="",0,O23))+ABS(IF(P23="",0,P23))+ABS(IF(Q23="",0,Q23))+ABS(IF(R23="",0,R23))+ABS(IF(S23="",0,S23))+ABS(IF(T23="",0,T23)))/+COUNT(K23:T23))</f>
      </c>
      <c r="K23" s="133">
        <f>IF(X17="c",Tech!V17,"")</f>
      </c>
      <c r="L23" s="133">
        <f>IF(X17="c",Tech!W17,"")</f>
      </c>
      <c r="M23" s="133">
        <f>IF(AND(X17="c",Tech!X17&lt;&gt;""),Tech!X17,"")</f>
      </c>
      <c r="N23" s="133">
        <f>IF(AND(X17="c",Tech!Y17&lt;&gt;""),Tech!Y17,"")</f>
      </c>
      <c r="O23" s="133">
        <f>IF(AND(X17="c",Tech!Z17&lt;&gt;""),Tech!Z17,"")</f>
      </c>
      <c r="P23" s="133">
        <f>IF(AND(X17="c",Tech!AA17&lt;&gt;""),Tech!AA17,"")</f>
      </c>
      <c r="Q23" s="133">
        <f>IF(AND(X17="c",Tech!AB17&lt;&gt;""),Tech!AB17,"")</f>
      </c>
      <c r="R23" s="133">
        <f>IF(AND(X17="c",Tech!AC17&lt;&gt;""),Tech!AC17,"")</f>
      </c>
      <c r="S23" s="133">
        <f>IF(AND(X17="c",Tech!AD17&lt;&gt;""),Tech!AD17,"")</f>
      </c>
      <c r="T23" s="133">
        <f>IF(AND(X17="c",Tech!AE17&lt;&gt;""),Tech!AE17,"")</f>
      </c>
      <c r="U23" s="19"/>
      <c r="V23" s="85">
        <f t="shared" si="8"/>
      </c>
      <c r="W23" s="85">
        <f t="shared" si="1"/>
      </c>
      <c r="X23" s="147">
        <f t="shared" si="9"/>
      </c>
      <c r="Y23" s="66">
        <f t="shared" si="2"/>
      </c>
    </row>
    <row r="24" spans="2:25" ht="12.75">
      <c r="B24" s="82" t="str">
        <f t="shared" si="3"/>
        <v>---</v>
      </c>
      <c r="C24" s="214" t="str">
        <f t="shared" si="4"/>
        <v>---</v>
      </c>
      <c r="D24" s="214" t="str">
        <f t="shared" si="5"/>
        <v>---</v>
      </c>
      <c r="E24" s="214" t="str">
        <f t="shared" si="6"/>
        <v>---</v>
      </c>
      <c r="F24" s="214" t="str">
        <f t="shared" si="7"/>
        <v>---</v>
      </c>
      <c r="H24" s="144"/>
      <c r="I24" s="149" t="s">
        <v>35</v>
      </c>
      <c r="J24" s="133">
        <f>+IF(K24="","",(+ABS(IF(K24="",0,K24))+ABS(IF(L24="",0,L24))+ABS(IF(M24="",0,M24))+ABS(IF(N24="",0,N24))+ABS(IF(O24="",0,O24))+ABS(IF(P24="",0,P24))+ABS(IF(Q24="",0,Q24))+ABS(IF(R24="",0,R24))+ABS(IF(S24="",0,S24))+ABS(IF(T24="",0,T24)))/+COUNT(K24:T24))</f>
      </c>
      <c r="K24" s="133">
        <f>IF(X17="c",Tech!AH17,"")</f>
      </c>
      <c r="L24" s="133">
        <f>IF(X17="c",Tech!AI17,"")</f>
      </c>
      <c r="M24" s="133">
        <f>IF(AND(X17="c",Tech!AJ17&lt;&gt;""),Tech!AJ17,"")</f>
      </c>
      <c r="N24" s="133">
        <f>IF(AND(X17="c",Tech!AK17&lt;&gt;""),Tech!AK17,"")</f>
      </c>
      <c r="O24" s="133">
        <f>IF(AND(X17="c",Tech!AL17&lt;&gt;""),Tech!AL17,"")</f>
      </c>
      <c r="P24" s="133">
        <f>IF(AND(X17="c",Tech!AM17&lt;&gt;""),Tech!AM17,"")</f>
      </c>
      <c r="Q24" s="133">
        <f>IF(AND(X17="c",Tech!AN17&lt;&gt;""),Tech!AN17,"")</f>
      </c>
      <c r="R24" s="133">
        <f>IF(AND(X17="c",Tech!AO17&lt;&gt;""),Tech!AO17,"")</f>
      </c>
      <c r="S24" s="133">
        <f>IF(AND(X17="c",Tech!AP17&lt;&gt;""),Tech!AP17,"")</f>
      </c>
      <c r="T24" s="133">
        <f>IF(AND(X17="c",Tech!AQ17&lt;&gt;""),Tech!AQ17,"")</f>
      </c>
      <c r="U24" s="19"/>
      <c r="V24" s="85">
        <f t="shared" si="8"/>
      </c>
      <c r="W24" s="85">
        <f t="shared" si="1"/>
      </c>
      <c r="X24" s="147">
        <f t="shared" si="9"/>
      </c>
      <c r="Y24" s="66">
        <f t="shared" si="2"/>
      </c>
    </row>
    <row r="25" spans="2:25" ht="12.75">
      <c r="B25" s="82" t="str">
        <f t="shared" si="3"/>
        <v>---</v>
      </c>
      <c r="C25" s="214" t="str">
        <f t="shared" si="4"/>
        <v>---</v>
      </c>
      <c r="D25" s="214" t="str">
        <f t="shared" si="5"/>
        <v>---</v>
      </c>
      <c r="E25" s="214" t="str">
        <f t="shared" si="6"/>
        <v>---</v>
      </c>
      <c r="F25" s="214" t="str">
        <f t="shared" si="7"/>
        <v>---</v>
      </c>
      <c r="H25" s="144"/>
      <c r="I25" s="149" t="s">
        <v>33</v>
      </c>
      <c r="J25" s="133">
        <f>+IF(K25="","",(+ABS(IF(K25="",0,K25))+ABS(IF(L25="",0,L25))+ABS(IF(M25="",0,M25))+ABS(IF(N25="",0,N25))+ABS(IF(O25="",0,O25))+ABS(IF(P25="",0,P25))+ABS(IF(Q25="",0,Q25))+ABS(IF(R25="",0,R25))+ABS(IF(S25="",0,S25))+ABS(IF(T25="",0,T25)))/+COUNT(K25:T25))</f>
      </c>
      <c r="K25" s="133">
        <f>IF(X17="c",Tech!AT17,"")</f>
      </c>
      <c r="L25" s="133">
        <f>IF(X17="c",Tech!AU17,"")</f>
      </c>
      <c r="M25" s="133">
        <f>IF(AND(X17="c",Tech!AV17&lt;&gt;""),Tech!AV17,"")</f>
      </c>
      <c r="N25" s="133">
        <f>IF(AND(X17="c",Tech!AW17&lt;&gt;""),Tech!AW17,"")</f>
      </c>
      <c r="O25" s="133">
        <f>IF(AND(X17="c",Tech!AX17&lt;&gt;""),Tech!AX17,"")</f>
      </c>
      <c r="P25" s="133">
        <f>IF(AND(X17="c",Tech!AY17&lt;&gt;""),Tech!AY17,"")</f>
      </c>
      <c r="Q25" s="133">
        <f>IF(AND(X17="c",Tech!AZ17&lt;&gt;""),Tech!AZ17,"")</f>
      </c>
      <c r="R25" s="133">
        <f>IF(AND(X17="c",Tech!BA17&lt;&gt;""),Tech!BA17,"")</f>
      </c>
      <c r="S25" s="133">
        <f>IF(AND(X17="c",Tech!BB17&lt;&gt;""),Tech!BB17,"")</f>
      </c>
      <c r="T25" s="133">
        <f>IF(AND(X17="c",Tech!BC17&lt;&gt;""),Tech!BC17,"")</f>
      </c>
      <c r="U25" s="19"/>
      <c r="V25" s="85">
        <f t="shared" si="8"/>
      </c>
      <c r="W25" s="85">
        <f t="shared" si="1"/>
      </c>
      <c r="X25" s="147">
        <f t="shared" si="9"/>
      </c>
      <c r="Y25" s="66">
        <f t="shared" si="2"/>
      </c>
    </row>
    <row r="26" spans="2:25" ht="12.75">
      <c r="B26" s="82" t="str">
        <f t="shared" si="3"/>
        <v>---</v>
      </c>
      <c r="C26" s="214" t="str">
        <f t="shared" si="4"/>
        <v>---</v>
      </c>
      <c r="D26" s="214" t="str">
        <f t="shared" si="5"/>
        <v>---</v>
      </c>
      <c r="E26" s="214" t="str">
        <f t="shared" si="6"/>
        <v>---</v>
      </c>
      <c r="F26" s="214" t="str">
        <f t="shared" si="7"/>
        <v>---</v>
      </c>
      <c r="H26" s="144" t="str">
        <f>IF(V$18="","",V$18)</f>
        <v>WHITE</v>
      </c>
      <c r="I26" s="145" t="s">
        <v>32</v>
      </c>
      <c r="J26" s="146" t="s">
        <v>36</v>
      </c>
      <c r="K26" s="133">
        <f>IF($X$18="","",$Y$18*K$15)</f>
        <v>0.039398383997208276</v>
      </c>
      <c r="L26" s="133">
        <f aca="true" t="shared" si="11" ref="L26:T26">IF(OR(L$15="",$X$18=""),"",$Y$18*L$15)</f>
        <v>0.057182440014606185</v>
      </c>
      <c r="M26" s="133">
        <f t="shared" si="11"/>
        <v>-0.04457104229394006</v>
      </c>
      <c r="N26" s="133">
        <f t="shared" si="11"/>
        <v>-0.052009781717874404</v>
      </c>
      <c r="O26" s="133">
        <f t="shared" si="11"/>
      </c>
      <c r="P26" s="133">
        <f t="shared" si="11"/>
      </c>
      <c r="Q26" s="133">
        <f t="shared" si="11"/>
      </c>
      <c r="R26" s="133">
        <f t="shared" si="11"/>
      </c>
      <c r="S26" s="133">
        <f t="shared" si="11"/>
      </c>
      <c r="T26" s="133">
        <f t="shared" si="11"/>
      </c>
      <c r="U26" s="19"/>
      <c r="V26" s="85">
        <f t="shared" si="8"/>
      </c>
      <c r="W26" s="85">
        <f t="shared" si="1"/>
      </c>
      <c r="X26" s="147">
        <f t="shared" si="9"/>
      </c>
      <c r="Y26" s="66">
        <f t="shared" si="2"/>
      </c>
    </row>
    <row r="27" spans="2:25" ht="12.75">
      <c r="B27" s="82" t="str">
        <f t="shared" si="3"/>
        <v>---</v>
      </c>
      <c r="C27" s="214" t="str">
        <f t="shared" si="4"/>
        <v>---</v>
      </c>
      <c r="D27" s="214" t="str">
        <f t="shared" si="5"/>
        <v>---</v>
      </c>
      <c r="E27" s="214" t="str">
        <f t="shared" si="6"/>
        <v>---</v>
      </c>
      <c r="F27" s="214" t="str">
        <f t="shared" si="7"/>
        <v>---</v>
      </c>
      <c r="H27" s="144"/>
      <c r="I27" s="148" t="s">
        <v>29</v>
      </c>
      <c r="J27" s="133">
        <f>+IF(K27="","",(+ABS(IF(K27="",0,K27))+ABS(IF(L27="",0,L27))+ABS(IF(M27="",0,M27))+ABS(IF(N27="",0,N27))+ABS(IF(O27="",0,O27))+ABS(IF(P27="",0,P27))+ABS(IF(Q27="",0,Q27))+ABS(IF(R27="",0,R27))+ABS(IF(S27="",0,S27))+ABS(IF(T27="",0,T27)))/+COUNT(K27:T27))</f>
        <v>0.04712018785314242</v>
      </c>
      <c r="K27" s="133">
        <f>IF(X18="b",Tech!J18,"")</f>
        <v>0.03515328716452984</v>
      </c>
      <c r="L27" s="133">
        <f>IF(X18="b",Tech!K18,"")</f>
        <v>0.059087088541754984</v>
      </c>
      <c r="M27" s="133">
        <f>IF(AND(X18="b",Tech!L18&lt;&gt;""),Tech!L18,"")</f>
        <v>-0.036798091506990094</v>
      </c>
      <c r="N27" s="133">
        <f>IF(AND(X18="b",Tech!M18&lt;&gt;""),Tech!M18,"")</f>
        <v>-0.05744228419929476</v>
      </c>
      <c r="O27" s="133">
        <f>IF(AND(X18="b",Tech!N18&lt;&gt;""),Tech!N18,"")</f>
      </c>
      <c r="P27" s="133">
        <f>IF(AND(X18="b",Tech!O18&lt;&gt;""),Tech!O18,"")</f>
      </c>
      <c r="Q27" s="133">
        <f>IF(AND(X18="b",Tech!P18&lt;&gt;""),Tech!P18,"")</f>
      </c>
      <c r="R27" s="133">
        <f>IF(AND(X18="b",Tech!Q18&lt;&gt;""),Tech!Q18,"")</f>
      </c>
      <c r="S27" s="133">
        <f>IF(AND(X18="b",Tech!R18&lt;&gt;""),Tech!R18,"")</f>
      </c>
      <c r="T27" s="133">
        <f>IF(AND(X18="b",Tech!S18&lt;&gt;""),Tech!S18,"")</f>
      </c>
      <c r="U27" s="19"/>
      <c r="V27" s="85">
        <f t="shared" si="8"/>
      </c>
      <c r="W27" s="85">
        <f t="shared" si="1"/>
      </c>
      <c r="X27" s="147">
        <f t="shared" si="9"/>
      </c>
      <c r="Y27" s="66">
        <f t="shared" si="2"/>
      </c>
    </row>
    <row r="28" spans="2:25" ht="12.75">
      <c r="B28" s="82" t="str">
        <f t="shared" si="3"/>
        <v>---</v>
      </c>
      <c r="C28" s="214" t="str">
        <f t="shared" si="4"/>
        <v>---</v>
      </c>
      <c r="D28" s="214" t="str">
        <f t="shared" si="5"/>
        <v>---</v>
      </c>
      <c r="E28" s="214" t="str">
        <f t="shared" si="6"/>
        <v>---</v>
      </c>
      <c r="F28" s="214" t="str">
        <f t="shared" si="7"/>
        <v>---</v>
      </c>
      <c r="H28" s="144"/>
      <c r="I28" s="149" t="s">
        <v>34</v>
      </c>
      <c r="J28" s="133">
        <f>+IF(K28="","",(+ABS(IF(K28="",0,K28))+ABS(IF(L28="",0,L28))+ABS(IF(M28="",0,M28))+ABS(IF(N28="",0,N28))+ABS(IF(O28="",0,O28))+ABS(IF(P28="",0,P28))+ABS(IF(Q28="",0,Q28))+ABS(IF(R28="",0,R28))+ABS(IF(S28="",0,S28))+ABS(IF(T28="",0,T28)))/+COUNT(K28:T28))</f>
      </c>
      <c r="K28" s="133">
        <f>IF(X18="c",Tech!V18,"")</f>
      </c>
      <c r="L28" s="133">
        <f>IF(X18="c",Tech!W18,"")</f>
      </c>
      <c r="M28" s="133">
        <f>IF(AND(X18="c",Tech!X18&lt;&gt;""),Tech!X18,"")</f>
      </c>
      <c r="N28" s="133">
        <f>IF(AND(X18="c",Tech!Y18&lt;&gt;""),Tech!Y18,"")</f>
      </c>
      <c r="O28" s="133">
        <f>IF(AND(X18="c",Tech!Z18&lt;&gt;""),Tech!Z18,"")</f>
      </c>
      <c r="P28" s="133">
        <f>IF(AND(X18="c",Tech!AA18&lt;&gt;""),Tech!AA18,"")</f>
      </c>
      <c r="Q28" s="133">
        <f>IF(AND(X18="c",Tech!AB18&lt;&gt;""),Tech!AB18,"")</f>
      </c>
      <c r="R28" s="133">
        <f>IF(AND(X18="c",Tech!AC18&lt;&gt;""),Tech!AC18,"")</f>
      </c>
      <c r="S28" s="133">
        <f>IF(AND(X18="c",Tech!AD18&lt;&gt;""),Tech!AD18,"")</f>
      </c>
      <c r="T28" s="133">
        <f>IF(AND(X18="c",Tech!AE18&lt;&gt;""),Tech!AE18,"")</f>
      </c>
      <c r="U28" s="19"/>
      <c r="V28" s="85">
        <f t="shared" si="8"/>
      </c>
      <c r="W28" s="85">
        <f t="shared" si="1"/>
      </c>
      <c r="X28" s="147">
        <f t="shared" si="9"/>
      </c>
      <c r="Y28" s="66">
        <f t="shared" si="2"/>
      </c>
    </row>
    <row r="29" spans="2:25" ht="12.75">
      <c r="B29" s="82" t="str">
        <f t="shared" si="3"/>
        <v>---</v>
      </c>
      <c r="C29" s="214" t="str">
        <f t="shared" si="4"/>
        <v>---</v>
      </c>
      <c r="D29" s="214" t="str">
        <f t="shared" si="5"/>
        <v>---</v>
      </c>
      <c r="E29" s="214" t="str">
        <f t="shared" si="6"/>
        <v>---</v>
      </c>
      <c r="F29" s="214" t="str">
        <f t="shared" si="7"/>
        <v>---</v>
      </c>
      <c r="H29" s="144"/>
      <c r="I29" s="149" t="s">
        <v>35</v>
      </c>
      <c r="J29" s="133">
        <f>+IF(K29="","",(+ABS(IF(K29="",0,K29))+ABS(IF(L29="",0,L29))+ABS(IF(M29="",0,M29))+ABS(IF(N29="",0,N29))+ABS(IF(O29="",0,O29))+ABS(IF(P29="",0,P29))+ABS(IF(Q29="",0,Q29))+ABS(IF(R29="",0,R29))+ABS(IF(S29="",0,S29))+ABS(IF(T29="",0,T29)))/+COUNT(K29:T29))</f>
      </c>
      <c r="K29" s="133">
        <f>IF(X18="c",Tech!AH18,"")</f>
      </c>
      <c r="L29" s="133">
        <f>IF(X18="c",Tech!AI18,"")</f>
      </c>
      <c r="M29" s="133">
        <f>IF(AND(X18="c",Tech!AJ18&lt;&gt;""),Tech!AJ18,"")</f>
      </c>
      <c r="N29" s="133">
        <f>IF(AND(X18="c",Tech!AK18&lt;&gt;""),Tech!AK18,"")</f>
      </c>
      <c r="O29" s="133">
        <f>IF(AND(X18="c",Tech!AL18&lt;&gt;""),Tech!AL18,"")</f>
      </c>
      <c r="P29" s="133">
        <f>IF(AND(X18="c",Tech!AM18&lt;&gt;""),Tech!AM18,"")</f>
      </c>
      <c r="Q29" s="133">
        <f>IF(AND(X18="c",Tech!AN18&lt;&gt;""),Tech!AN18,"")</f>
      </c>
      <c r="R29" s="133">
        <f>IF(AND(X18="c",Tech!AO18&lt;&gt;""),Tech!AO18,"")</f>
      </c>
      <c r="S29" s="133">
        <f>IF(AND(X18="c",Tech!AP18&lt;&gt;""),Tech!AP18,"")</f>
      </c>
      <c r="T29" s="133">
        <f>IF(AND(X18="c",Tech!AQ18&lt;&gt;""),Tech!AQ18,"")</f>
      </c>
      <c r="U29" s="19"/>
      <c r="V29" s="85">
        <f t="shared" si="8"/>
      </c>
      <c r="W29" s="85">
        <f t="shared" si="1"/>
      </c>
      <c r="X29" s="147">
        <f t="shared" si="9"/>
      </c>
      <c r="Y29" s="66">
        <f t="shared" si="2"/>
      </c>
    </row>
    <row r="30" spans="2:25" ht="12.75">
      <c r="B30" s="82" t="str">
        <f t="shared" si="3"/>
        <v>---</v>
      </c>
      <c r="C30" s="214" t="str">
        <f t="shared" si="4"/>
        <v>---</v>
      </c>
      <c r="D30" s="214" t="str">
        <f t="shared" si="5"/>
        <v>---</v>
      </c>
      <c r="E30" s="214" t="str">
        <f t="shared" si="6"/>
        <v>---</v>
      </c>
      <c r="F30" s="214" t="str">
        <f t="shared" si="7"/>
        <v>---</v>
      </c>
      <c r="H30" s="144"/>
      <c r="I30" s="149" t="s">
        <v>33</v>
      </c>
      <c r="J30" s="133">
        <f>+IF(K30="","",(+ABS(IF(K30="",0,K30))+ABS(IF(L30="",0,L30))+ABS(IF(M30="",0,M30))+ABS(IF(N30="",0,N30))+ABS(IF(O30="",0,O30))+ABS(IF(P30="",0,P30))+ABS(IF(Q30="",0,Q30))+ABS(IF(R30="",0,R30))+ABS(IF(S30="",0,S30))+ABS(IF(T30="",0,T30)))/+COUNT(K30:T30))</f>
      </c>
      <c r="K30" s="133">
        <f>IF(X18="c",Tech!AT18,"")</f>
      </c>
      <c r="L30" s="133">
        <f>IF(X18="c",Tech!AU18,"")</f>
      </c>
      <c r="M30" s="133">
        <f>IF(AND(X18="c",Tech!AV18&lt;&gt;""),Tech!AV18,"")</f>
      </c>
      <c r="N30" s="133">
        <f>IF(AND(X18="c",Tech!AW18&lt;&gt;""),Tech!AW18,"")</f>
      </c>
      <c r="O30" s="133">
        <f>IF(AND(X18="c",Tech!AX18&lt;&gt;""),Tech!AX18,"")</f>
      </c>
      <c r="P30" s="133">
        <f>IF(AND(X18="c",Tech!AY18&lt;&gt;""),Tech!AY18,"")</f>
      </c>
      <c r="Q30" s="133">
        <f>IF(AND(X18="c",Tech!AZ18&lt;&gt;""),Tech!AZ18,"")</f>
      </c>
      <c r="R30" s="133">
        <f>IF(AND(X18="c",Tech!BA18&lt;&gt;""),Tech!BA18,"")</f>
      </c>
      <c r="S30" s="133">
        <f>IF(AND(X18="c",Tech!BB18&lt;&gt;""),Tech!BB18,"")</f>
      </c>
      <c r="T30" s="133">
        <f>IF(AND(X18="c",Tech!BC18&lt;&gt;""),Tech!BC18,"")</f>
      </c>
      <c r="U30" s="19"/>
      <c r="V30" s="85">
        <f t="shared" si="8"/>
      </c>
      <c r="W30" s="85">
        <f t="shared" si="1"/>
      </c>
      <c r="X30" s="147">
        <f t="shared" si="9"/>
      </c>
      <c r="Y30" s="66">
        <f t="shared" si="2"/>
      </c>
    </row>
    <row r="31" spans="2:25" ht="12.75">
      <c r="B31" s="82" t="str">
        <f t="shared" si="3"/>
        <v>---</v>
      </c>
      <c r="C31" s="214" t="str">
        <f t="shared" si="4"/>
        <v>---</v>
      </c>
      <c r="D31" s="214" t="str">
        <f t="shared" si="5"/>
        <v>---</v>
      </c>
      <c r="E31" s="214" t="str">
        <f t="shared" si="6"/>
        <v>---</v>
      </c>
      <c r="F31" s="214" t="str">
        <f t="shared" si="7"/>
        <v>---</v>
      </c>
      <c r="H31" s="144" t="str">
        <f>IF(V$19="","",V$19)</f>
        <v>AGE</v>
      </c>
      <c r="I31" s="145" t="s">
        <v>32</v>
      </c>
      <c r="J31" s="146" t="s">
        <v>36</v>
      </c>
      <c r="K31" s="133">
        <f>IF($X$19="","",$Y$19*K$15)</f>
        <v>0.0022167888694081383</v>
      </c>
      <c r="L31" s="133">
        <f aca="true" t="shared" si="12" ref="L31:T31">IF(OR(L$15="",$X$19=""),"",$Y$19*L$15)</f>
        <v>0.003217426292381933</v>
      </c>
      <c r="M31" s="133">
        <f t="shared" si="12"/>
        <v>-0.002507833581756218</v>
      </c>
      <c r="N31" s="133">
        <f t="shared" si="12"/>
        <v>-0.0029263815800338534</v>
      </c>
      <c r="O31" s="133">
        <f t="shared" si="12"/>
      </c>
      <c r="P31" s="133">
        <f t="shared" si="12"/>
      </c>
      <c r="Q31" s="133">
        <f t="shared" si="12"/>
      </c>
      <c r="R31" s="133">
        <f t="shared" si="12"/>
      </c>
      <c r="S31" s="133">
        <f t="shared" si="12"/>
      </c>
      <c r="T31" s="133">
        <f t="shared" si="12"/>
      </c>
      <c r="U31" s="19"/>
      <c r="V31" s="85">
        <f t="shared" si="8"/>
      </c>
      <c r="W31" s="85">
        <f t="shared" si="1"/>
      </c>
      <c r="X31" s="147">
        <f t="shared" si="9"/>
      </c>
      <c r="Y31" s="66">
        <f t="shared" si="2"/>
      </c>
    </row>
    <row r="32" spans="2:25" ht="12.75">
      <c r="B32" s="82" t="str">
        <f t="shared" si="3"/>
        <v>---</v>
      </c>
      <c r="C32" s="214" t="str">
        <f t="shared" si="4"/>
        <v>---</v>
      </c>
      <c r="D32" s="214" t="str">
        <f t="shared" si="5"/>
        <v>---</v>
      </c>
      <c r="E32" s="214" t="str">
        <f t="shared" si="6"/>
        <v>---</v>
      </c>
      <c r="F32" s="214" t="str">
        <f t="shared" si="7"/>
        <v>---</v>
      </c>
      <c r="H32" s="144"/>
      <c r="I32" s="148" t="s">
        <v>29</v>
      </c>
      <c r="J32" s="133">
        <f>+IF(K32="","",(+ABS(IF(K32="",0,K32))+ABS(IF(L32="",0,L32))+ABS(IF(M32="",0,M32))+ABS(IF(N32="",0,N32))+ABS(IF(O32="",0,O32))+ABS(IF(P32="",0,P32))+ABS(IF(Q32="",0,Q32))+ABS(IF(R32="",0,R32))+ABS(IF(S32="",0,S32))+ABS(IF(T32="",0,T32)))/+COUNT(K32:T32))</f>
      </c>
      <c r="K32" s="133">
        <f>IF(X19="b",Tech!J19,"")</f>
      </c>
      <c r="L32" s="133">
        <f>IF(X19="b",Tech!K19,"")</f>
      </c>
      <c r="M32" s="133">
        <f>IF(AND(X19="b",Tech!L19&lt;&gt;""),Tech!L19,"")</f>
      </c>
      <c r="N32" s="133">
        <f>IF(AND(X19="b",Tech!M19&lt;&gt;""),Tech!M19,"")</f>
      </c>
      <c r="O32" s="133">
        <f>IF(AND(X19="b",Tech!N19&lt;&gt;""),Tech!N19,"")</f>
      </c>
      <c r="P32" s="133">
        <f>IF(AND(X19="b",Tech!O19&lt;&gt;""),Tech!O19,"")</f>
      </c>
      <c r="Q32" s="133">
        <f>IF(AND(X19="b",Tech!P19&lt;&gt;""),Tech!P19,"")</f>
      </c>
      <c r="R32" s="133">
        <f>IF(AND(X19="b",Tech!Q19&lt;&gt;""),Tech!Q19,"")</f>
      </c>
      <c r="S32" s="133">
        <f>IF(AND(X19="b",Tech!R19&lt;&gt;""),Tech!R19,"")</f>
      </c>
      <c r="T32" s="133">
        <f>IF(AND(X19="b",Tech!S19&lt;&gt;""),Tech!S19,"")</f>
      </c>
      <c r="U32" s="19"/>
      <c r="V32" s="85">
        <f t="shared" si="8"/>
      </c>
      <c r="W32" s="85">
        <f t="shared" si="1"/>
      </c>
      <c r="X32" s="147">
        <f t="shared" si="9"/>
      </c>
      <c r="Y32" s="66">
        <f t="shared" si="2"/>
      </c>
    </row>
    <row r="33" spans="2:25" ht="12.75">
      <c r="B33" s="82" t="str">
        <f t="shared" si="3"/>
        <v>---</v>
      </c>
      <c r="C33" s="214" t="str">
        <f t="shared" si="4"/>
        <v>---</v>
      </c>
      <c r="D33" s="214" t="str">
        <f t="shared" si="5"/>
        <v>---</v>
      </c>
      <c r="E33" s="214" t="str">
        <f t="shared" si="6"/>
        <v>---</v>
      </c>
      <c r="F33" s="214" t="str">
        <f t="shared" si="7"/>
        <v>---</v>
      </c>
      <c r="H33" s="144"/>
      <c r="I33" s="149" t="s">
        <v>34</v>
      </c>
      <c r="J33" s="133">
        <f>+IF(K33="","",(+ABS(IF(K33="",0,K33))+ABS(IF(L33="",0,L33))+ABS(IF(M33="",0,M33))+ABS(IF(N33="",0,N33))+ABS(IF(O33="",0,O33))+ABS(IF(P33="",0,P33))+ABS(IF(Q33="",0,Q33))+ABS(IF(R33="",0,R33))+ABS(IF(S33="",0,S33))+ABS(IF(T33="",0,T33)))/+COUNT(K33:T33))</f>
        <v>0.1858563904831629</v>
      </c>
      <c r="K33" s="133">
        <f>IF(X19="c",Tech!V19,"")</f>
        <v>0.18647699095696943</v>
      </c>
      <c r="L33" s="133">
        <f>IF(X19="c",Tech!W19,"")</f>
        <v>0.1852357900093564</v>
      </c>
      <c r="M33" s="133">
        <f>IF(AND(X19="c",Tech!X19&lt;&gt;""),Tech!X19,"")</f>
        <v>-0.18478085051789744</v>
      </c>
      <c r="N33" s="133">
        <f>IF(AND(X19="c",Tech!Y19&lt;&gt;""),Tech!Y19,"")</f>
        <v>-0.18693193044842837</v>
      </c>
      <c r="O33" s="133">
        <f>IF(AND(X19="c",Tech!Z19&lt;&gt;""),Tech!Z19,"")</f>
      </c>
      <c r="P33" s="133">
        <f>IF(AND(X19="c",Tech!AA19&lt;&gt;""),Tech!AA19,"")</f>
      </c>
      <c r="Q33" s="133">
        <f>IF(AND(X19="c",Tech!AB19&lt;&gt;""),Tech!AB19,"")</f>
      </c>
      <c r="R33" s="133">
        <f>IF(AND(X19="c",Tech!AC19&lt;&gt;""),Tech!AC19,"")</f>
      </c>
      <c r="S33" s="133">
        <f>IF(AND(X19="c",Tech!AD19&lt;&gt;""),Tech!AD19,"")</f>
      </c>
      <c r="T33" s="133">
        <f>IF(AND(X19="c",Tech!AE19&lt;&gt;""),Tech!AE19,"")</f>
      </c>
      <c r="U33" s="19"/>
      <c r="V33" s="85">
        <f t="shared" si="8"/>
      </c>
      <c r="W33" s="85">
        <f t="shared" si="1"/>
      </c>
      <c r="X33" s="147">
        <f t="shared" si="9"/>
      </c>
      <c r="Y33" s="66">
        <f t="shared" si="2"/>
      </c>
    </row>
    <row r="34" spans="2:25" ht="12.75">
      <c r="B34" s="82" t="str">
        <f t="shared" si="3"/>
        <v>---</v>
      </c>
      <c r="C34" s="214" t="str">
        <f t="shared" si="4"/>
        <v>---</v>
      </c>
      <c r="D34" s="214" t="str">
        <f t="shared" si="5"/>
        <v>---</v>
      </c>
      <c r="E34" s="214" t="str">
        <f t="shared" si="6"/>
        <v>---</v>
      </c>
      <c r="F34" s="214" t="str">
        <f t="shared" si="7"/>
        <v>---</v>
      </c>
      <c r="H34" s="144"/>
      <c r="I34" s="149" t="s">
        <v>35</v>
      </c>
      <c r="J34" s="133">
        <f>+IF(K34="","",(+ABS(IF(K34="",0,K34))+ABS(IF(L34="",0,L34))+ABS(IF(M34="",0,M34))+ABS(IF(N34="",0,N34))+ABS(IF(O34="",0,O34))+ABS(IF(P34="",0,P34))+ABS(IF(Q34="",0,Q34))+ABS(IF(R34="",0,R34))+ABS(IF(S34="",0,S34))+ABS(IF(T34="",0,T34)))/+COUNT(K34:T34))</f>
        <v>0.0027170811667903347</v>
      </c>
      <c r="K34" s="133">
        <f>IF(X19="c",Tech!AH19,"")</f>
        <v>0.002216806546591815</v>
      </c>
      <c r="L34" s="133">
        <f>IF(X19="c",Tech!AI19,"")</f>
        <v>0.0032173557869888403</v>
      </c>
      <c r="M34" s="133">
        <f>IF(AND(X19="c",Tech!AJ19&lt;&gt;""),Tech!AJ19,"")</f>
        <v>-0.002507768838894975</v>
      </c>
      <c r="N34" s="133">
        <f>IF(AND(X19="c",Tech!AK19&lt;&gt;""),Tech!AK19,"")</f>
        <v>-0.0029263934946857084</v>
      </c>
      <c r="O34" s="133">
        <f>IF(AND(X19="c",Tech!AL19&lt;&gt;""),Tech!AL19,"")</f>
      </c>
      <c r="P34" s="133">
        <f>IF(AND(X19="c",Tech!AM19&lt;&gt;""),Tech!AM19,"")</f>
      </c>
      <c r="Q34" s="133">
        <f>IF(AND(X19="c",Tech!AN19&lt;&gt;""),Tech!AN19,"")</f>
      </c>
      <c r="R34" s="133">
        <f>IF(AND(X19="c",Tech!AO19&lt;&gt;""),Tech!AO19,"")</f>
      </c>
      <c r="S34" s="133">
        <f>IF(AND(X19="c",Tech!AP19&lt;&gt;""),Tech!AP19,"")</f>
      </c>
      <c r="T34" s="133">
        <f>IF(AND(X19="c",Tech!AQ19&lt;&gt;""),Tech!AQ19,"")</f>
      </c>
      <c r="U34" s="19"/>
      <c r="V34" s="85">
        <f t="shared" si="8"/>
      </c>
      <c r="W34" s="85">
        <f t="shared" si="1"/>
      </c>
      <c r="X34" s="147">
        <f t="shared" si="9"/>
      </c>
      <c r="Y34" s="66">
        <f t="shared" si="2"/>
      </c>
    </row>
    <row r="35" spans="2:25" ht="12.75">
      <c r="B35" s="82" t="str">
        <f t="shared" si="3"/>
        <v>---</v>
      </c>
      <c r="C35" s="214" t="str">
        <f t="shared" si="4"/>
        <v>---</v>
      </c>
      <c r="D35" s="214" t="str">
        <f t="shared" si="5"/>
        <v>---</v>
      </c>
      <c r="E35" s="214" t="str">
        <f t="shared" si="6"/>
        <v>---</v>
      </c>
      <c r="F35" s="214" t="str">
        <f t="shared" si="7"/>
        <v>---</v>
      </c>
      <c r="H35" s="144"/>
      <c r="I35" s="149" t="s">
        <v>33</v>
      </c>
      <c r="J35" s="133">
        <f>+IF(K35="","",(+ABS(IF(K35="",0,K35))+ABS(IF(L35="",0,L35))+ABS(IF(M35="",0,M35))+ABS(IF(N35="",0,N35))+ABS(IF(O35="",0,O35))+ABS(IF(P35="",0,P35))+ABS(IF(Q35="",0,Q35))+ABS(IF(R35="",0,R35))+ABS(IF(S35="",0,S35))+ABS(IF(T35="",0,T35)))/+COUNT(K35:T35))</f>
        <v>0.0454686652435283</v>
      </c>
      <c r="K35" s="133">
        <f>IF(X19="c",Tech!AT19,"")</f>
        <v>0.037280948551182705</v>
      </c>
      <c r="L35" s="133">
        <f>IF(X19="c",Tech!AU19,"")</f>
        <v>0.05365638193587391</v>
      </c>
      <c r="M35" s="133">
        <f>IF(AND(X19="c",Tech!AV19&lt;&gt;""),Tech!AV19,"")</f>
        <v>-0.04177676388142443</v>
      </c>
      <c r="N35" s="133">
        <f>IF(AND(X19="c",Tech!AW19&lt;&gt;""),Tech!AW19,"")</f>
        <v>-0.04916056660563217</v>
      </c>
      <c r="O35" s="133">
        <f>IF(AND(X19="c",Tech!AX19&lt;&gt;""),Tech!AX19,"")</f>
      </c>
      <c r="P35" s="133">
        <f>IF(AND(X19="c",Tech!AY19&lt;&gt;""),Tech!AY19,"")</f>
      </c>
      <c r="Q35" s="133">
        <f>IF(AND(X19="c",Tech!AZ19&lt;&gt;""),Tech!AZ19,"")</f>
      </c>
      <c r="R35" s="133">
        <f>IF(AND(X19="c",Tech!BA19&lt;&gt;""),Tech!BA19,"")</f>
      </c>
      <c r="S35" s="133">
        <f>IF(AND(X19="c",Tech!BB19&lt;&gt;""),Tech!BB19,"")</f>
      </c>
      <c r="T35" s="133">
        <f>IF(AND(X19="c",Tech!BC19&lt;&gt;""),Tech!BC19,"")</f>
      </c>
      <c r="U35" s="19"/>
      <c r="V35" s="85">
        <f t="shared" si="8"/>
      </c>
      <c r="W35" s="85">
        <f t="shared" si="1"/>
      </c>
      <c r="X35" s="147">
        <f t="shared" si="9"/>
      </c>
      <c r="Y35" s="66">
        <f t="shared" si="2"/>
      </c>
    </row>
    <row r="36" spans="2:25" ht="12.75">
      <c r="B36" s="82" t="str">
        <f t="shared" si="3"/>
        <v>---</v>
      </c>
      <c r="C36" s="214" t="str">
        <f t="shared" si="4"/>
        <v>---</v>
      </c>
      <c r="D36" s="214" t="str">
        <f t="shared" si="5"/>
        <v>---</v>
      </c>
      <c r="E36" s="214" t="str">
        <f t="shared" si="6"/>
        <v>---</v>
      </c>
      <c r="F36" s="214" t="str">
        <f t="shared" si="7"/>
        <v>---</v>
      </c>
      <c r="H36" s="144" t="str">
        <f>IF(V$20="","",V$20)</f>
        <v>ED</v>
      </c>
      <c r="I36" s="145" t="s">
        <v>32</v>
      </c>
      <c r="J36" s="146" t="s">
        <v>36</v>
      </c>
      <c r="K36" s="133">
        <f>IF(X$16="c",Tech!AT$16,"")</f>
      </c>
      <c r="L36" s="133">
        <f>IF(X$16="c",Tech!AU$16,"")</f>
      </c>
      <c r="M36" s="133">
        <f>IF(AND(X$16="c",Tech!AV$16&lt;&gt;""),Tech!AV$16,"")</f>
      </c>
      <c r="N36" s="133">
        <f>IF(AND(X$16="c",Tech!AW$16&lt;&gt;""),Tech!AW$16,"")</f>
      </c>
      <c r="O36" s="133">
        <f>IF(AND(X$16="c",Tech!AX$16&lt;&gt;""),Tech!AX$16,"")</f>
      </c>
      <c r="P36" s="133">
        <f>IF(AND(X$16="c",Tech!AY$16&lt;&gt;""),Tech!AY$16,"")</f>
      </c>
      <c r="Q36" s="133">
        <f>IF(AND(X$16="c",Tech!AZ$16&lt;&gt;""),Tech!AZ$16,"")</f>
      </c>
      <c r="R36" s="133">
        <f>IF(AND(X$16="c",Tech!BA$16&lt;&gt;""),Tech!BA$16,"")</f>
      </c>
      <c r="S36" s="133">
        <f>IF(AND(X$16="c",Tech!BB$16&lt;&gt;""),Tech!BB$16,"")</f>
      </c>
      <c r="T36" s="133">
        <f>IF(AND(X$16="c",Tech!BC$16&lt;&gt;""),Tech!BC$16,"")</f>
      </c>
      <c r="U36" s="19"/>
      <c r="V36" s="85">
        <f t="shared" si="8"/>
      </c>
      <c r="W36" s="85">
        <f t="shared" si="1"/>
      </c>
      <c r="X36" s="147">
        <f t="shared" si="9"/>
      </c>
      <c r="Y36" s="66">
        <f t="shared" si="2"/>
      </c>
    </row>
    <row r="37" spans="2:25" ht="12.75">
      <c r="B37" s="82" t="str">
        <f t="shared" si="3"/>
        <v>---</v>
      </c>
      <c r="C37" s="214" t="str">
        <f t="shared" si="4"/>
        <v>---</v>
      </c>
      <c r="D37" s="214" t="str">
        <f t="shared" si="5"/>
        <v>---</v>
      </c>
      <c r="E37" s="214" t="str">
        <f t="shared" si="6"/>
        <v>---</v>
      </c>
      <c r="F37" s="214" t="str">
        <f t="shared" si="7"/>
        <v>---</v>
      </c>
      <c r="H37" s="144"/>
      <c r="I37" s="148" t="s">
        <v>29</v>
      </c>
      <c r="J37" s="133">
        <f>+IF(K37="","",(+ABS(IF(K37="",0,K37))+ABS(IF(L37="",0,L37))+ABS(IF(M37="",0,M37))+ABS(IF(N37="",0,N37))+ABS(IF(O37="",0,O37))+ABS(IF(P37="",0,P37))+ABS(IF(Q37="",0,Q37))+ABS(IF(R37="",0,R37))+ABS(IF(S37="",0,S37))+ABS(IF(T37="",0,T37)))/+COUNT(K37:T37))</f>
      </c>
      <c r="K37" s="133">
        <f>IF(X20="b",Tech!J20,"")</f>
      </c>
      <c r="L37" s="133">
        <f>IF(X20="b",Tech!K20,"")</f>
      </c>
      <c r="M37" s="133">
        <f>IF(AND(X20="b",Tech!L20&lt;&gt;""),Tech!L20,"")</f>
      </c>
      <c r="N37" s="133">
        <f>IF(AND(X20="b",Tech!M20&lt;&gt;""),Tech!M20,"")</f>
      </c>
      <c r="O37" s="133">
        <f>IF(AND(X20="b",Tech!N20&lt;&gt;""),Tech!N20,"")</f>
      </c>
      <c r="P37" s="133">
        <f>IF(AND(X20="b",Tech!O20&lt;&gt;""),Tech!O20,"")</f>
      </c>
      <c r="Q37" s="133">
        <f>IF(AND(X20="b",Tech!P20&lt;&gt;""),Tech!P20,"")</f>
      </c>
      <c r="R37" s="133">
        <f>IF(AND(X20="b",Tech!Q20&lt;&gt;""),Tech!Q20,"")</f>
      </c>
      <c r="S37" s="133">
        <f>IF(AND(X20="b",Tech!R20&lt;&gt;""),Tech!R20,"")</f>
      </c>
      <c r="T37" s="133">
        <f>IF(AND(X20="b",Tech!S20&lt;&gt;""),Tech!S20,"")</f>
      </c>
      <c r="U37" s="19"/>
      <c r="V37" s="85">
        <f t="shared" si="8"/>
      </c>
      <c r="W37" s="85">
        <f t="shared" si="1"/>
      </c>
      <c r="X37" s="147">
        <f t="shared" si="9"/>
      </c>
      <c r="Y37" s="66">
        <f t="shared" si="2"/>
      </c>
    </row>
    <row r="38" spans="2:25" ht="12.75">
      <c r="B38" s="82" t="str">
        <f t="shared" si="3"/>
        <v>---</v>
      </c>
      <c r="C38" s="214" t="str">
        <f t="shared" si="4"/>
        <v>---</v>
      </c>
      <c r="D38" s="214" t="str">
        <f t="shared" si="5"/>
        <v>---</v>
      </c>
      <c r="E38" s="214" t="str">
        <f t="shared" si="6"/>
        <v>---</v>
      </c>
      <c r="F38" s="214" t="str">
        <f t="shared" si="7"/>
        <v>---</v>
      </c>
      <c r="H38" s="144"/>
      <c r="I38" s="149" t="s">
        <v>34</v>
      </c>
      <c r="J38" s="133">
        <f>+IF(K38="","",(+ABS(IF(K38="",0,K38))+ABS(IF(L38="",0,L38))+ABS(IF(M38="",0,M38))+ABS(IF(N38="",0,N38))+ABS(IF(O38="",0,O38))+ABS(IF(P38="",0,P38))+ABS(IF(Q38="",0,Q38))+ABS(IF(R38="",0,R38))+ABS(IF(S38="",0,S38))+ABS(IF(T38="",0,T38)))/+COUNT(K38:T38))</f>
        <v>0.16132165535259665</v>
      </c>
      <c r="K38" s="133">
        <f>IF(X20="c",Tech!V20,"")</f>
        <v>-0.15455683785673235</v>
      </c>
      <c r="L38" s="133">
        <f>IF(X20="c",Tech!W20,"")</f>
        <v>-0.16808647284846095</v>
      </c>
      <c r="M38" s="133">
        <f>IF(AND(X20="c",Tech!X20&lt;&gt;""),Tech!X20,"")</f>
        <v>0.15895480697106618</v>
      </c>
      <c r="N38" s="133">
        <f>IF(AND(X20="c",Tech!Y20&lt;&gt;""),Tech!Y20,"")</f>
        <v>0.16368850373412713</v>
      </c>
      <c r="O38" s="133">
        <f>IF(AND(X20="c",Tech!Z20&lt;&gt;""),Tech!Z20,"")</f>
      </c>
      <c r="P38" s="133">
        <f>IF(AND(X20="c",Tech!AA20&lt;&gt;""),Tech!AA20,"")</f>
      </c>
      <c r="Q38" s="133">
        <f>IF(AND(X20="c",Tech!AB20&lt;&gt;""),Tech!AB20,"")</f>
      </c>
      <c r="R38" s="133">
        <f>IF(AND(X20="c",Tech!AC20&lt;&gt;""),Tech!AC20,"")</f>
      </c>
      <c r="S38" s="133">
        <f>IF(AND(X20="c",Tech!AD20&lt;&gt;""),Tech!AD20,"")</f>
      </c>
      <c r="T38" s="133">
        <f>IF(AND(X20="c",Tech!AE20&lt;&gt;""),Tech!AE20,"")</f>
      </c>
      <c r="U38" s="19"/>
      <c r="V38" s="85">
        <f t="shared" si="8"/>
      </c>
      <c r="W38" s="85">
        <f t="shared" si="1"/>
      </c>
      <c r="X38" s="147">
        <f t="shared" si="9"/>
      </c>
      <c r="Y38" s="66">
        <f t="shared" si="2"/>
      </c>
    </row>
    <row r="39" spans="2:25" ht="12.75">
      <c r="B39" s="82" t="str">
        <f t="shared" si="3"/>
        <v>---</v>
      </c>
      <c r="C39" s="214" t="str">
        <f t="shared" si="4"/>
        <v>---</v>
      </c>
      <c r="D39" s="214" t="str">
        <f t="shared" si="5"/>
        <v>---</v>
      </c>
      <c r="E39" s="214" t="str">
        <f t="shared" si="6"/>
        <v>---</v>
      </c>
      <c r="F39" s="214" t="str">
        <f t="shared" si="7"/>
        <v>---</v>
      </c>
      <c r="H39" s="144"/>
      <c r="I39" s="149" t="s">
        <v>35</v>
      </c>
      <c r="J39" s="133">
        <f>+IF(K39="","",(+ABS(IF(K39="",0,K39))+ABS(IF(L39="",0,L39))+ABS(IF(M39="",0,M39))+ABS(IF(N39="",0,N39))+ABS(IF(O39="",0,O39))+ABS(IF(P39="",0,P39))+ABS(IF(Q39="",0,Q39))+ABS(IF(R39="",0,R39))+ABS(IF(S39="",0,S39))+ABS(IF(T39="",0,T39)))/+COUNT(K39:T39))</f>
        <v>0.008274081611545341</v>
      </c>
      <c r="K39" s="133">
        <f>IF(X20="c",Tech!AH20,"")</f>
        <v>-0.0067516289968481</v>
      </c>
      <c r="L39" s="133">
        <f>IF(X20="c",Tech!AI20,"")</f>
        <v>-0.009796534226242604</v>
      </c>
      <c r="M39" s="133">
        <f>IF(AND(X20="c",Tech!AJ20&lt;&gt;""),Tech!AJ20,"")</f>
        <v>0.0076356646700130315</v>
      </c>
      <c r="N39" s="133">
        <f>IF(AND(X20="c",Tech!AK20&lt;&gt;""),Tech!AK20,"")</f>
        <v>0.00891249855307763</v>
      </c>
      <c r="O39" s="133">
        <f>IF(AND(X20="c",Tech!AL20&lt;&gt;""),Tech!AL20,"")</f>
      </c>
      <c r="P39" s="133">
        <f>IF(AND(X20="c",Tech!AM20&lt;&gt;""),Tech!AM20,"")</f>
      </c>
      <c r="Q39" s="133">
        <f>IF(AND(X20="c",Tech!AN20&lt;&gt;""),Tech!AN20,"")</f>
      </c>
      <c r="R39" s="133">
        <f>IF(AND(X20="c",Tech!AO20&lt;&gt;""),Tech!AO20,"")</f>
      </c>
      <c r="S39" s="133">
        <f>IF(AND(X20="c",Tech!AP20&lt;&gt;""),Tech!AP20,"")</f>
      </c>
      <c r="T39" s="133">
        <f>IF(AND(X20="c",Tech!AQ20&lt;&gt;""),Tech!AQ20,"")</f>
      </c>
      <c r="U39" s="19"/>
      <c r="V39" s="85">
        <f t="shared" si="8"/>
      </c>
      <c r="W39" s="85">
        <f t="shared" si="1"/>
      </c>
      <c r="X39" s="147">
        <f t="shared" si="9"/>
      </c>
      <c r="Y39" s="66">
        <f t="shared" si="2"/>
      </c>
    </row>
    <row r="40" spans="2:25" ht="12.75">
      <c r="B40" s="82" t="str">
        <f t="shared" si="3"/>
        <v>---</v>
      </c>
      <c r="C40" s="214" t="str">
        <f t="shared" si="4"/>
        <v>---</v>
      </c>
      <c r="D40" s="214" t="str">
        <f t="shared" si="5"/>
        <v>---</v>
      </c>
      <c r="E40" s="214" t="str">
        <f t="shared" si="6"/>
        <v>---</v>
      </c>
      <c r="F40" s="214" t="str">
        <f t="shared" si="7"/>
        <v>---</v>
      </c>
      <c r="H40" s="144"/>
      <c r="I40" s="149" t="s">
        <v>33</v>
      </c>
      <c r="J40" s="133">
        <f>+IF(K40="","",(+ABS(IF(K40="",0,K40))+ABS(IF(L40="",0,L40))+ABS(IF(M40="",0,M40))+ABS(IF(N40="",0,N40))+ABS(IF(O40="",0,O40))+ABS(IF(P40="",0,P40))+ABS(IF(Q40="",0,Q40))+ABS(IF(R40="",0,R40))+ABS(IF(S40="",0,S40))+ABS(IF(T40="",0,T40)))/+COUNT(K40:T40))</f>
        <v>0.026124937413054047</v>
      </c>
      <c r="K40" s="133">
        <f>IF(X20="c",Tech!AT20,"")</f>
        <v>-0.021349307653421454</v>
      </c>
      <c r="L40" s="133">
        <f>IF(X20="c",Tech!AU20,"")</f>
        <v>-0.030900567172686633</v>
      </c>
      <c r="M40" s="133">
        <f>IF(AND(X20="c",Tech!AV20&lt;&gt;""),Tech!AV20,"")</f>
        <v>0.024076848531825013</v>
      </c>
      <c r="N40" s="133">
        <f>IF(AND(X20="c",Tech!AW20&lt;&gt;""),Tech!AW20,"")</f>
        <v>0.028173026294283088</v>
      </c>
      <c r="O40" s="133">
        <f>IF(AND(X20="c",Tech!AX20&lt;&gt;""),Tech!AX20,"")</f>
      </c>
      <c r="P40" s="133">
        <f>IF(AND(X20="c",Tech!AY20&lt;&gt;""),Tech!AY20,"")</f>
      </c>
      <c r="Q40" s="133">
        <f>IF(AND(X20="c",Tech!AZ20&lt;&gt;""),Tech!AZ20,"")</f>
      </c>
      <c r="R40" s="133">
        <f>IF(AND(X20="c",Tech!BA20&lt;&gt;""),Tech!BA20,"")</f>
      </c>
      <c r="S40" s="133">
        <f>IF(AND(X20="c",Tech!BB20&lt;&gt;""),Tech!BB20,"")</f>
      </c>
      <c r="T40" s="133">
        <f>IF(AND(X20="c",Tech!BC20&lt;&gt;""),Tech!BC20,"")</f>
      </c>
      <c r="U40" s="19"/>
      <c r="V40" s="85">
        <f t="shared" si="8"/>
      </c>
      <c r="W40" s="85">
        <f t="shared" si="1"/>
      </c>
      <c r="X40" s="147">
        <f t="shared" si="9"/>
      </c>
      <c r="Y40" s="66">
        <f t="shared" si="2"/>
      </c>
    </row>
    <row r="41" spans="2:25" ht="12.75">
      <c r="B41" s="82" t="str">
        <f t="shared" si="3"/>
        <v>---</v>
      </c>
      <c r="C41" s="214" t="str">
        <f t="shared" si="4"/>
        <v>---</v>
      </c>
      <c r="D41" s="214" t="str">
        <f t="shared" si="5"/>
        <v>---</v>
      </c>
      <c r="E41" s="214" t="str">
        <f t="shared" si="6"/>
        <v>---</v>
      </c>
      <c r="F41" s="214" t="str">
        <f t="shared" si="7"/>
        <v>---</v>
      </c>
      <c r="H41" s="144" t="str">
        <f>IF(V21="","",V21)</f>
        <v>PRST</v>
      </c>
      <c r="I41" s="145" t="s">
        <v>32</v>
      </c>
      <c r="J41" s="146" t="s">
        <v>36</v>
      </c>
      <c r="K41" s="133">
        <f>IF($X$21="","",$Y$21*K$15)</f>
        <v>-0.0006045787825658559</v>
      </c>
      <c r="L41" s="133">
        <f aca="true" t="shared" si="13" ref="L41:T41">IF(OR(L$15="",$X$21=""),"",$Y$21*L$15)</f>
        <v>-0.0008774798979223455</v>
      </c>
      <c r="M41" s="133">
        <f t="shared" si="13"/>
        <v>0.0006839546132062413</v>
      </c>
      <c r="N41" s="133">
        <f t="shared" si="13"/>
        <v>0.0007981040672819601</v>
      </c>
      <c r="O41" s="133">
        <f t="shared" si="13"/>
      </c>
      <c r="P41" s="133">
        <f t="shared" si="13"/>
      </c>
      <c r="Q41" s="133">
        <f t="shared" si="13"/>
      </c>
      <c r="R41" s="133">
        <f t="shared" si="13"/>
      </c>
      <c r="S41" s="133">
        <f t="shared" si="13"/>
      </c>
      <c r="T41" s="133">
        <f t="shared" si="13"/>
      </c>
      <c r="U41" s="19"/>
      <c r="V41" s="85">
        <f t="shared" si="8"/>
      </c>
      <c r="W41" s="85">
        <f t="shared" si="1"/>
      </c>
      <c r="X41" s="147">
        <f t="shared" si="9"/>
      </c>
      <c r="Y41" s="66">
        <f t="shared" si="2"/>
      </c>
    </row>
    <row r="42" spans="2:25" ht="12.75">
      <c r="B42" s="82" t="str">
        <f t="shared" si="3"/>
        <v>---</v>
      </c>
      <c r="C42" s="214" t="str">
        <f t="shared" si="4"/>
        <v>---</v>
      </c>
      <c r="D42" s="214" t="str">
        <f t="shared" si="5"/>
        <v>---</v>
      </c>
      <c r="E42" s="214" t="str">
        <f t="shared" si="6"/>
        <v>---</v>
      </c>
      <c r="F42" s="214" t="str">
        <f t="shared" si="7"/>
        <v>---</v>
      </c>
      <c r="H42" s="144"/>
      <c r="I42" s="148" t="s">
        <v>29</v>
      </c>
      <c r="J42" s="133">
        <f>+IF(K42="","",(+ABS(IF(K42="",0,K42))+ABS(IF(L42="",0,L42))+ABS(IF(M42="",0,M42))+ABS(IF(N42="",0,N42))+ABS(IF(O42="",0,O42))+ABS(IF(P42="",0,P42))+ABS(IF(Q42="",0,Q42))+ABS(IF(R42="",0,R42))+ABS(IF(S42="",0,S42))+ABS(IF(T42="",0,T42)))/+COUNT(K42:T42))</f>
      </c>
      <c r="K42" s="133">
        <f>IF(X21="b",Tech!J21,"")</f>
      </c>
      <c r="L42" s="133">
        <f>IF(X21="b",Tech!K21,"")</f>
      </c>
      <c r="M42" s="133">
        <f>IF(AND(X21="b",Tech!L21&lt;&gt;""),Tech!L21,"")</f>
      </c>
      <c r="N42" s="133">
        <f>IF(AND(X21="b",Tech!M21&lt;&gt;""),Tech!M21,"")</f>
      </c>
      <c r="O42" s="133">
        <f>IF(AND(X21="b",Tech!N21&lt;&gt;""),Tech!N21,"")</f>
      </c>
      <c r="P42" s="133">
        <f>IF(AND(X21="b",Tech!O21&lt;&gt;""),Tech!O21,"")</f>
      </c>
      <c r="Q42" s="133">
        <f>IF(AND(X21="b",Tech!P21&lt;&gt;""),Tech!P21,"")</f>
      </c>
      <c r="R42" s="133">
        <f>IF(AND(X21="b",Tech!Q21&lt;&gt;""),Tech!Q21,"")</f>
      </c>
      <c r="S42" s="133">
        <f>IF(AND(X21="b",Tech!R21&lt;&gt;""),Tech!R21,"")</f>
      </c>
      <c r="T42" s="133">
        <f>IF(AND(X21="b",Tech!S21&lt;&gt;""),Tech!S21,"")</f>
      </c>
      <c r="U42" s="19"/>
      <c r="V42" s="85">
        <f t="shared" si="8"/>
      </c>
      <c r="W42" s="85">
        <f t="shared" si="1"/>
      </c>
      <c r="X42" s="147">
        <f t="shared" si="9"/>
      </c>
      <c r="Y42" s="66">
        <f t="shared" si="2"/>
      </c>
    </row>
    <row r="43" spans="2:25" ht="12.75">
      <c r="B43" s="82" t="str">
        <f t="shared" si="3"/>
        <v>---</v>
      </c>
      <c r="C43" s="214" t="str">
        <f t="shared" si="4"/>
        <v>---</v>
      </c>
      <c r="D43" s="214" t="str">
        <f t="shared" si="5"/>
        <v>---</v>
      </c>
      <c r="E43" s="214" t="str">
        <f t="shared" si="6"/>
        <v>---</v>
      </c>
      <c r="F43" s="214" t="str">
        <f t="shared" si="7"/>
        <v>---</v>
      </c>
      <c r="H43" s="144"/>
      <c r="I43" s="149" t="s">
        <v>34</v>
      </c>
      <c r="J43" s="133">
        <f>+IF(K43="","",(+ABS(IF(K43="",0,K43))+ABS(IF(L43="",0,L43))+ABS(IF(M43="",0,M43))+ABS(IF(N43="",0,N43))+ABS(IF(O43="",0,O43))+ABS(IF(P43="",0,P43))+ABS(IF(Q43="",0,Q43))+ABS(IF(R43="",0,R43))+ABS(IF(S43="",0,S43))+ABS(IF(T43="",0,T43)))/+COUNT(K43:T43))</f>
        <v>0.05141620480944249</v>
      </c>
      <c r="K43" s="133">
        <f>IF(X21="c",Tech!V21,"")</f>
        <v>-0.04100787467282789</v>
      </c>
      <c r="L43" s="133">
        <f>IF(X21="c",Tech!W21,"")</f>
        <v>-0.06182453494605711</v>
      </c>
      <c r="M43" s="133">
        <f>IF(AND(X21="c",Tech!X21&lt;&gt;""),Tech!X21,"")</f>
        <v>0.04518091771885446</v>
      </c>
      <c r="N43" s="133">
        <f>IF(AND(X21="c",Tech!Y21&lt;&gt;""),Tech!Y21,"")</f>
        <v>0.057651491900030494</v>
      </c>
      <c r="O43" s="133">
        <f>IF(AND(X21="c",Tech!Z21&lt;&gt;""),Tech!Z21,"")</f>
      </c>
      <c r="P43" s="133">
        <f>IF(AND(X21="c",Tech!AA21&lt;&gt;""),Tech!AA21,"")</f>
      </c>
      <c r="Q43" s="133">
        <f>IF(AND(X21="c",Tech!AB21&lt;&gt;""),Tech!AB21,"")</f>
      </c>
      <c r="R43" s="133">
        <f>IF(AND(X21="c",Tech!AC21&lt;&gt;""),Tech!AC21,"")</f>
      </c>
      <c r="S43" s="133">
        <f>IF(AND(X21="c",Tech!AD21&lt;&gt;""),Tech!AD21,"")</f>
      </c>
      <c r="T43" s="133">
        <f>IF(AND(X21="c",Tech!AE21&lt;&gt;""),Tech!AE21,"")</f>
      </c>
      <c r="U43" s="19"/>
      <c r="V43" s="85">
        <f t="shared" si="8"/>
      </c>
      <c r="W43" s="85">
        <f t="shared" si="1"/>
      </c>
      <c r="X43" s="147">
        <f t="shared" si="9"/>
      </c>
      <c r="Y43" s="66">
        <f t="shared" si="2"/>
      </c>
    </row>
    <row r="44" spans="2:25" ht="12.75">
      <c r="B44" s="82" t="str">
        <f t="shared" si="3"/>
        <v>---</v>
      </c>
      <c r="C44" s="214" t="str">
        <f t="shared" si="4"/>
        <v>---</v>
      </c>
      <c r="D44" s="214" t="str">
        <f t="shared" si="5"/>
        <v>---</v>
      </c>
      <c r="E44" s="214" t="str">
        <f t="shared" si="6"/>
        <v>---</v>
      </c>
      <c r="F44" s="214" t="str">
        <f t="shared" si="7"/>
        <v>---</v>
      </c>
      <c r="H44" s="144"/>
      <c r="I44" s="149" t="s">
        <v>35</v>
      </c>
      <c r="J44" s="133">
        <f>+IF(K44="","",(+ABS(IF(K44="",0,K44))+ABS(IF(L44="",0,L44))+ABS(IF(M44="",0,M44))+ABS(IF(N44="",0,N44))+ABS(IF(O44="",0,O44))+ABS(IF(P44="",0,P44))+ABS(IF(Q44="",0,Q44))+ABS(IF(R44="",0,R44))+ABS(IF(S44="",0,S44))+ABS(IF(T44="",0,T44)))/+COUNT(K44:T44))</f>
        <v>0.000741028804415126</v>
      </c>
      <c r="K44" s="133">
        <f>IF(X21="c",Tech!AH21,"")</f>
        <v>-0.0006045791411604245</v>
      </c>
      <c r="L44" s="133">
        <f>IF(X21="c",Tech!AI21,"")</f>
        <v>-0.0008774784676698344</v>
      </c>
      <c r="M44" s="133">
        <f>IF(AND(X21="c",Tech!AJ21&lt;&gt;""),Tech!AJ21,"")</f>
        <v>0.0006839532998478282</v>
      </c>
      <c r="N44" s="133">
        <f>IF(AND(X21="c",Tech!AK21&lt;&gt;""),Tech!AK21,"")</f>
        <v>0.0007981043089824169</v>
      </c>
      <c r="O44" s="133">
        <f>IF(AND(X21="c",Tech!AL21&lt;&gt;""),Tech!AL21,"")</f>
      </c>
      <c r="P44" s="133">
        <f>IF(AND(X21="c",Tech!AM21&lt;&gt;""),Tech!AM21,"")</f>
      </c>
      <c r="Q44" s="133">
        <f>IF(AND(X21="c",Tech!AN21&lt;&gt;""),Tech!AN21,"")</f>
      </c>
      <c r="R44" s="133">
        <f>IF(AND(X21="c",Tech!AO21&lt;&gt;""),Tech!AO21,"")</f>
      </c>
      <c r="S44" s="133">
        <f>IF(AND(X21="c",Tech!AP21&lt;&gt;""),Tech!AP21,"")</f>
      </c>
      <c r="T44" s="133">
        <f>IF(AND(X21="c",Tech!AQ21&lt;&gt;""),Tech!AQ21,"")</f>
      </c>
      <c r="U44" s="19"/>
      <c r="V44" s="85">
        <f t="shared" si="8"/>
      </c>
      <c r="W44" s="85">
        <f t="shared" si="1"/>
      </c>
      <c r="X44" s="147">
        <f t="shared" si="9"/>
      </c>
      <c r="Y44" s="66">
        <f t="shared" si="2"/>
      </c>
    </row>
    <row r="45" spans="2:25" ht="12.75">
      <c r="B45" s="82" t="str">
        <f t="shared" si="3"/>
        <v>---</v>
      </c>
      <c r="C45" s="214" t="str">
        <f t="shared" si="4"/>
        <v>---</v>
      </c>
      <c r="D45" s="214" t="str">
        <f t="shared" si="5"/>
        <v>---</v>
      </c>
      <c r="E45" s="214" t="str">
        <f t="shared" si="6"/>
        <v>---</v>
      </c>
      <c r="F45" s="214" t="str">
        <f t="shared" si="7"/>
        <v>---</v>
      </c>
      <c r="H45" s="144"/>
      <c r="I45" s="149" t="s">
        <v>33</v>
      </c>
      <c r="J45" s="133">
        <f>+IF(K45="","",(+ABS(IF(K45="",0,K45))+ABS(IF(L45="",0,L45))+ABS(IF(M45="",0,M45))+ABS(IF(N45="",0,N45))+ABS(IF(O45="",0,O45))+ABS(IF(P45="",0,P45))+ABS(IF(Q45="",0,Q45))+ABS(IF(R45="",0,R45))+ABS(IF(S45="",0,S45))+ABS(IF(T45="",0,T45)))/+COUNT(K45:T45))</f>
        <v>0.01073588526566457</v>
      </c>
      <c r="K45" s="133">
        <f>IF(X21="c",Tech!AT21,"")</f>
        <v>-0.008761437310818673</v>
      </c>
      <c r="L45" s="133">
        <f>IF(X21="c",Tech!AU21,"")</f>
        <v>-0.012710333220510461</v>
      </c>
      <c r="M45" s="133">
        <f>IF(AND(X21="c",Tech!AV21&lt;&gt;""),Tech!AV21,"")</f>
        <v>0.00990650756275463</v>
      </c>
      <c r="N45" s="133">
        <f>IF(AND(X21="c",Tech!AW21&lt;&gt;""),Tech!AW21,"")</f>
        <v>0.011565262968574519</v>
      </c>
      <c r="O45" s="133">
        <f>IF(AND(X21="c",Tech!AX21&lt;&gt;""),Tech!AX21,"")</f>
      </c>
      <c r="P45" s="133">
        <f>IF(AND(X21="c",Tech!AY21&lt;&gt;""),Tech!AY21,"")</f>
      </c>
      <c r="Q45" s="133">
        <f>IF(AND(X21="c",Tech!AZ21&lt;&gt;""),Tech!AZ21,"")</f>
      </c>
      <c r="R45" s="133">
        <f>IF(AND(X21="c",Tech!BA21&lt;&gt;""),Tech!BA21,"")</f>
      </c>
      <c r="S45" s="133">
        <f>IF(AND(X21="c",Tech!BB21&lt;&gt;""),Tech!BB21,"")</f>
      </c>
      <c r="T45" s="133">
        <f>IF(AND(X21="c",Tech!BC21&lt;&gt;""),Tech!BC21,"")</f>
      </c>
      <c r="U45" s="19"/>
      <c r="V45" s="85">
        <f t="shared" si="8"/>
      </c>
      <c r="W45" s="85">
        <f t="shared" si="1"/>
      </c>
      <c r="X45" s="147">
        <f t="shared" si="9"/>
      </c>
      <c r="Y45" s="66">
        <f t="shared" si="2"/>
      </c>
    </row>
    <row r="46" spans="2:25" ht="12.75">
      <c r="B46" s="82" t="str">
        <f t="shared" si="3"/>
        <v>---</v>
      </c>
      <c r="C46" s="214" t="str">
        <f t="shared" si="4"/>
        <v>---</v>
      </c>
      <c r="D46" s="214" t="str">
        <f t="shared" si="5"/>
        <v>---</v>
      </c>
      <c r="E46" s="214" t="str">
        <f t="shared" si="6"/>
        <v>---</v>
      </c>
      <c r="F46" s="214" t="str">
        <f t="shared" si="7"/>
        <v>---</v>
      </c>
      <c r="H46" s="144">
        <f>IF(V22="","",V22)</f>
      </c>
      <c r="I46" s="145" t="s">
        <v>32</v>
      </c>
      <c r="J46" s="146" t="s">
        <v>36</v>
      </c>
      <c r="K46" s="133">
        <f>IF($X$22="","",$Y$22*K$15)</f>
      </c>
      <c r="L46" s="133">
        <f aca="true" t="shared" si="14" ref="L46:T46">IF(OR(L$15="",$X$22=""),"",$Y$22*L$15)</f>
      </c>
      <c r="M46" s="133">
        <f t="shared" si="14"/>
      </c>
      <c r="N46" s="133">
        <f t="shared" si="14"/>
      </c>
      <c r="O46" s="133">
        <f t="shared" si="14"/>
      </c>
      <c r="P46" s="133">
        <f t="shared" si="14"/>
      </c>
      <c r="Q46" s="133">
        <f t="shared" si="14"/>
      </c>
      <c r="R46" s="133">
        <f t="shared" si="14"/>
      </c>
      <c r="S46" s="133">
        <f t="shared" si="14"/>
      </c>
      <c r="T46" s="133">
        <f t="shared" si="14"/>
      </c>
      <c r="U46" s="19"/>
      <c r="V46" s="85">
        <f t="shared" si="8"/>
      </c>
      <c r="W46" s="85">
        <f t="shared" si="1"/>
      </c>
      <c r="X46" s="147">
        <f t="shared" si="9"/>
      </c>
      <c r="Y46" s="66">
        <f t="shared" si="2"/>
      </c>
    </row>
    <row r="47" spans="2:25" ht="12.75">
      <c r="B47" s="82" t="str">
        <f t="shared" si="3"/>
        <v>---</v>
      </c>
      <c r="C47" s="214" t="str">
        <f t="shared" si="4"/>
        <v>---</v>
      </c>
      <c r="D47" s="214" t="str">
        <f t="shared" si="5"/>
        <v>---</v>
      </c>
      <c r="E47" s="214" t="str">
        <f t="shared" si="6"/>
        <v>---</v>
      </c>
      <c r="F47" s="214" t="str">
        <f t="shared" si="7"/>
        <v>---</v>
      </c>
      <c r="H47" s="144"/>
      <c r="I47" s="148" t="s">
        <v>29</v>
      </c>
      <c r="J47" s="133">
        <f>+IF(K47="","",(+ABS(IF(K47="",0,K47))+ABS(IF(L47="",0,L47))+ABS(IF(M47="",0,M47))+ABS(IF(N47="",0,N47))+ABS(IF(O47="",0,O47))+ABS(IF(P47="",0,P47))+ABS(IF(Q47="",0,Q47))+ABS(IF(R47="",0,R47))+ABS(IF(S47="",0,S47))+ABS(IF(T47="",0,T47)))/+COUNT(K47:T47))</f>
      </c>
      <c r="K47" s="133">
        <f>IF(X22="b",Tech!J22,"")</f>
      </c>
      <c r="L47" s="133">
        <f>IF(X22="b",Tech!K22,"")</f>
      </c>
      <c r="M47" s="133">
        <f>IF(AND(X22="b",Tech!L22&lt;&gt;""),Tech!L22,"")</f>
      </c>
      <c r="N47" s="133">
        <f>IF(AND(X22="b",Tech!M22&lt;&gt;""),Tech!M22,"")</f>
      </c>
      <c r="O47" s="133">
        <f>IF(AND(X22="b",Tech!N22&lt;&gt;""),Tech!N22,"")</f>
      </c>
      <c r="P47" s="133">
        <f>IF(AND(X22="b",Tech!O22&lt;&gt;""),Tech!O22,"")</f>
      </c>
      <c r="Q47" s="133">
        <f>IF(AND(X22="b",Tech!P22&lt;&gt;""),Tech!P22,"")</f>
      </c>
      <c r="R47" s="133">
        <f>IF(AND(X22="b",Tech!Q22&lt;&gt;""),Tech!Q22,"")</f>
      </c>
      <c r="S47" s="133">
        <f>IF(AND(X22="b",Tech!R22&lt;&gt;""),Tech!R22,"")</f>
      </c>
      <c r="T47" s="133">
        <f>IF(AND(X22="b",Tech!S22&lt;&gt;""),Tech!S22,"")</f>
      </c>
      <c r="U47" s="19"/>
      <c r="V47" s="85">
        <f t="shared" si="8"/>
      </c>
      <c r="W47" s="85">
        <f t="shared" si="1"/>
      </c>
      <c r="X47" s="147">
        <f t="shared" si="9"/>
      </c>
      <c r="Y47" s="66">
        <f t="shared" si="2"/>
      </c>
    </row>
    <row r="48" spans="2:25" ht="12.75">
      <c r="B48" s="82" t="str">
        <f t="shared" si="3"/>
        <v>---</v>
      </c>
      <c r="C48" s="214" t="str">
        <f t="shared" si="4"/>
        <v>---</v>
      </c>
      <c r="D48" s="214" t="str">
        <f t="shared" si="5"/>
        <v>---</v>
      </c>
      <c r="E48" s="214" t="str">
        <f t="shared" si="6"/>
        <v>---</v>
      </c>
      <c r="F48" s="214" t="str">
        <f t="shared" si="7"/>
        <v>---</v>
      </c>
      <c r="H48" s="144"/>
      <c r="I48" s="149" t="s">
        <v>34</v>
      </c>
      <c r="J48" s="133">
        <f>+IF(K48="","",(+ABS(IF(K48="",0,K48))+ABS(IF(L48="",0,L48))+ABS(IF(M48="",0,M48))+ABS(IF(N48="",0,N48))+ABS(IF(O48="",0,O48))+ABS(IF(P48="",0,P48))+ABS(IF(Q48="",0,Q48))+ABS(IF(R48="",0,R48))+ABS(IF(S48="",0,S48))+ABS(IF(T48="",0,T48)))/+COUNT(K48:T48))</f>
      </c>
      <c r="K48" s="133">
        <f>IF(X22="c",Tech!V22,"")</f>
      </c>
      <c r="L48" s="133">
        <f>IF(X22="c",Tech!W22,"")</f>
      </c>
      <c r="M48" s="133">
        <f>IF(AND(X22="c",Tech!X22&lt;&gt;""),Tech!X22,"")</f>
      </c>
      <c r="N48" s="133">
        <f>IF(AND(X22="c",Tech!Y22&lt;&gt;""),Tech!Y22,"")</f>
      </c>
      <c r="O48" s="133">
        <f>IF(AND(X22="c",Tech!Z22&lt;&gt;""),Tech!Z22,"")</f>
      </c>
      <c r="P48" s="133">
        <f>IF(AND(X22="c",Tech!AA22&lt;&gt;""),Tech!AA22,"")</f>
      </c>
      <c r="Q48" s="133">
        <f>IF(AND(X22="c",Tech!AB22&lt;&gt;""),Tech!AB22,"")</f>
      </c>
      <c r="R48" s="133">
        <f>IF(AND(X22="c",Tech!AC22&lt;&gt;""),Tech!AC22,"")</f>
      </c>
      <c r="S48" s="133">
        <f>IF(AND(X22="c",Tech!AD22&lt;&gt;""),Tech!AD22,"")</f>
      </c>
      <c r="T48" s="133">
        <f>IF(AND(X22="c",Tech!AE22&lt;&gt;""),Tech!AE22,"")</f>
      </c>
      <c r="U48" s="19"/>
      <c r="V48" s="85">
        <f t="shared" si="8"/>
      </c>
      <c r="W48" s="85">
        <f t="shared" si="1"/>
      </c>
      <c r="X48" s="147">
        <f t="shared" si="9"/>
      </c>
      <c r="Y48" s="66">
        <f t="shared" si="2"/>
      </c>
    </row>
    <row r="49" spans="2:25" ht="12.75">
      <c r="B49" s="82" t="str">
        <f t="shared" si="3"/>
        <v>---</v>
      </c>
      <c r="C49" s="214" t="str">
        <f t="shared" si="4"/>
        <v>---</v>
      </c>
      <c r="D49" s="214" t="str">
        <f t="shared" si="5"/>
        <v>---</v>
      </c>
      <c r="E49" s="214" t="str">
        <f t="shared" si="6"/>
        <v>---</v>
      </c>
      <c r="F49" s="214" t="str">
        <f t="shared" si="7"/>
        <v>---</v>
      </c>
      <c r="H49" s="144"/>
      <c r="I49" s="149" t="s">
        <v>35</v>
      </c>
      <c r="J49" s="133">
        <f>+IF(K49="","",(+ABS(IF(K49="",0,K49))+ABS(IF(L49="",0,L49))+ABS(IF(M49="",0,M49))+ABS(IF(N49="",0,N49))+ABS(IF(O49="",0,O49))+ABS(IF(P49="",0,P49))+ABS(IF(Q49="",0,Q49))+ABS(IF(R49="",0,R49))+ABS(IF(S49="",0,S49))+ABS(IF(T49="",0,T49)))/+COUNT(K49:T49))</f>
      </c>
      <c r="K49" s="133">
        <f>IF(X22="c",Tech!AH22,"")</f>
      </c>
      <c r="L49" s="133">
        <f>IF(X22="c",Tech!AI22,"")</f>
      </c>
      <c r="M49" s="133">
        <f>IF(AND(X22="c",Tech!AJ22&lt;&gt;""),Tech!AJ22,"")</f>
      </c>
      <c r="N49" s="133">
        <f>IF(AND(X22="c",Tech!AK22&lt;&gt;""),Tech!AK22,"")</f>
      </c>
      <c r="O49" s="133">
        <f>IF(AND(X22="c",Tech!AL22&lt;&gt;""),Tech!AL22,"")</f>
      </c>
      <c r="P49" s="133">
        <f>IF(AND(X22="c",Tech!AM22&lt;&gt;""),Tech!AM22,"")</f>
      </c>
      <c r="Q49" s="133">
        <f>IF(AND(X22="c",Tech!AN22&lt;&gt;""),Tech!AN22,"")</f>
      </c>
      <c r="R49" s="133">
        <f>IF(AND(X22="c",Tech!AO22&lt;&gt;""),Tech!AO22,"")</f>
      </c>
      <c r="S49" s="133">
        <f>IF(AND(X22="c",Tech!AP22&lt;&gt;""),Tech!AP22,"")</f>
      </c>
      <c r="T49" s="133">
        <f>IF(AND(X22="c",Tech!AQ22&lt;&gt;""),Tech!AQ22,"")</f>
      </c>
      <c r="U49" s="19"/>
      <c r="V49" s="85">
        <f t="shared" si="8"/>
      </c>
      <c r="W49" s="85">
        <f t="shared" si="1"/>
      </c>
      <c r="X49" s="147">
        <f t="shared" si="9"/>
      </c>
      <c r="Y49" s="66">
        <f t="shared" si="2"/>
      </c>
    </row>
    <row r="50" spans="2:25" ht="12.75">
      <c r="B50" s="82" t="str">
        <f t="shared" si="3"/>
        <v>---</v>
      </c>
      <c r="C50" s="214" t="str">
        <f t="shared" si="4"/>
        <v>---</v>
      </c>
      <c r="D50" s="214" t="str">
        <f t="shared" si="5"/>
        <v>---</v>
      </c>
      <c r="E50" s="214" t="str">
        <f t="shared" si="6"/>
        <v>---</v>
      </c>
      <c r="F50" s="214" t="str">
        <f t="shared" si="7"/>
        <v>---</v>
      </c>
      <c r="H50" s="144"/>
      <c r="I50" s="149" t="s">
        <v>33</v>
      </c>
      <c r="J50" s="133">
        <f>+IF(K50="","",(+ABS(IF(K50="",0,K50))+ABS(IF(L50="",0,L50))+ABS(IF(M50="",0,M50))+ABS(IF(N50="",0,N50))+ABS(IF(O50="",0,O50))+ABS(IF(P50="",0,P50))+ABS(IF(Q50="",0,Q50))+ABS(IF(R50="",0,R50))+ABS(IF(S50="",0,S50))+ABS(IF(T50="",0,T50)))/+COUNT(K50:T50))</f>
      </c>
      <c r="K50" s="133">
        <f>IF(X22="c",Tech!AT22,"")</f>
      </c>
      <c r="L50" s="133">
        <f>IF(X22="c",Tech!AU22,"")</f>
      </c>
      <c r="M50" s="133">
        <f>IF(AND(X22="c",Tech!AV22&lt;&gt;""),Tech!AV22,"")</f>
      </c>
      <c r="N50" s="133">
        <f>IF(AND(X22="c",Tech!AW22&lt;&gt;""),Tech!AW22,"")</f>
      </c>
      <c r="O50" s="133">
        <f>IF(AND(X22="c",Tech!AX22&lt;&gt;""),Tech!AX22,"")</f>
      </c>
      <c r="P50" s="133">
        <f>IF(AND(X22="c",Tech!AY22&lt;&gt;""),Tech!AY22,"")</f>
      </c>
      <c r="Q50" s="133">
        <f>IF(AND(X22="c",Tech!AZ22&lt;&gt;""),Tech!AZ22,"")</f>
      </c>
      <c r="R50" s="133">
        <f>IF(AND(X22="c",Tech!BA22&lt;&gt;""),Tech!BA22,"")</f>
      </c>
      <c r="S50" s="133">
        <f>IF(AND(X22="c",Tech!BB22&lt;&gt;""),Tech!BB22,"")</f>
      </c>
      <c r="T50" s="133">
        <f>IF(AND(X22="c",Tech!BC22&lt;&gt;""),Tech!BC22,"")</f>
      </c>
      <c r="U50" s="19"/>
      <c r="V50" s="85">
        <f t="shared" si="8"/>
      </c>
      <c r="W50" s="85">
        <f t="shared" si="1"/>
      </c>
      <c r="X50" s="147">
        <f t="shared" si="9"/>
      </c>
      <c r="Y50" s="66">
        <f t="shared" si="2"/>
      </c>
    </row>
    <row r="51" spans="2:25" ht="12.75">
      <c r="B51" s="82" t="str">
        <f t="shared" si="3"/>
        <v>---</v>
      </c>
      <c r="C51" s="214" t="str">
        <f t="shared" si="4"/>
        <v>---</v>
      </c>
      <c r="D51" s="214" t="str">
        <f t="shared" si="5"/>
        <v>---</v>
      </c>
      <c r="E51" s="214" t="str">
        <f t="shared" si="6"/>
        <v>---</v>
      </c>
      <c r="F51" s="214" t="str">
        <f t="shared" si="7"/>
        <v>---</v>
      </c>
      <c r="H51" s="144">
        <f>IF(V23="","",V23)</f>
      </c>
      <c r="I51" s="145" t="s">
        <v>32</v>
      </c>
      <c r="J51" s="146" t="s">
        <v>36</v>
      </c>
      <c r="K51" s="133">
        <f>IF($X$23="","",$Y$23*K$15)</f>
      </c>
      <c r="L51" s="133">
        <f aca="true" t="shared" si="15" ref="L51:T51">IF(OR(L$15="",$X$23=""),"",$Y$23*L$15)</f>
      </c>
      <c r="M51" s="133">
        <f t="shared" si="15"/>
      </c>
      <c r="N51" s="133">
        <f t="shared" si="15"/>
      </c>
      <c r="O51" s="133">
        <f t="shared" si="15"/>
      </c>
      <c r="P51" s="133">
        <f t="shared" si="15"/>
      </c>
      <c r="Q51" s="133">
        <f t="shared" si="15"/>
      </c>
      <c r="R51" s="133">
        <f t="shared" si="15"/>
      </c>
      <c r="S51" s="133">
        <f t="shared" si="15"/>
      </c>
      <c r="T51" s="133">
        <f t="shared" si="15"/>
      </c>
      <c r="U51" s="19"/>
      <c r="V51" s="85">
        <f t="shared" si="8"/>
      </c>
      <c r="W51" s="85">
        <f t="shared" si="1"/>
      </c>
      <c r="X51" s="147">
        <f t="shared" si="9"/>
      </c>
      <c r="Y51" s="66">
        <f t="shared" si="2"/>
      </c>
    </row>
    <row r="52" spans="2:25" ht="12.75">
      <c r="B52" s="82" t="str">
        <f t="shared" si="3"/>
        <v>---</v>
      </c>
      <c r="C52" s="214" t="str">
        <f t="shared" si="4"/>
        <v>---</v>
      </c>
      <c r="D52" s="214" t="str">
        <f t="shared" si="5"/>
        <v>---</v>
      </c>
      <c r="E52" s="214" t="str">
        <f t="shared" si="6"/>
        <v>---</v>
      </c>
      <c r="F52" s="214" t="str">
        <f t="shared" si="7"/>
        <v>---</v>
      </c>
      <c r="H52" s="144"/>
      <c r="I52" s="148" t="s">
        <v>29</v>
      </c>
      <c r="J52" s="133">
        <f>+IF(K52="","",(+ABS(IF(K52="",0,K52))+ABS(IF(L52="",0,L52))+ABS(IF(M52="",0,M52))+ABS(IF(N52="",0,N52))+ABS(IF(O52="",0,O52))+ABS(IF(P52="",0,P52))+ABS(IF(Q52="",0,Q52))+ABS(IF(R52="",0,R52))+ABS(IF(S52="",0,S52))+ABS(IF(T52="",0,T52)))/+COUNT(K52:T52))</f>
      </c>
      <c r="K52" s="133">
        <f>IF(X23="b",Tech!J23,"")</f>
      </c>
      <c r="L52" s="133">
        <f>IF(X23="b",Tech!K23,"")</f>
      </c>
      <c r="M52" s="133">
        <f>IF(AND(X23="b",Tech!L23&lt;&gt;""),Tech!L23,"")</f>
      </c>
      <c r="N52" s="133">
        <f>IF(AND(X23="b",Tech!M23&lt;&gt;""),Tech!M23,"")</f>
      </c>
      <c r="O52" s="133">
        <f>IF(AND(X23="b",Tech!N23&lt;&gt;""),Tech!N23,"")</f>
      </c>
      <c r="P52" s="133">
        <f>IF(AND(X23="b",Tech!O23&lt;&gt;""),Tech!O23,"")</f>
      </c>
      <c r="Q52" s="133">
        <f>IF(AND(X23="b",Tech!P23&lt;&gt;""),Tech!P23,"")</f>
      </c>
      <c r="R52" s="133">
        <f>IF(AND(X23="b",Tech!Q23&lt;&gt;""),Tech!Q23,"")</f>
      </c>
      <c r="S52" s="133">
        <f>IF(AND(X23="b",Tech!R23&lt;&gt;""),Tech!R23,"")</f>
      </c>
      <c r="T52" s="133">
        <f>IF(AND(X23="b",Tech!S23&lt;&gt;""),Tech!S23,"")</f>
      </c>
      <c r="U52" s="19"/>
      <c r="V52" s="85">
        <f t="shared" si="8"/>
      </c>
      <c r="W52" s="85">
        <f t="shared" si="1"/>
      </c>
      <c r="X52" s="147">
        <f t="shared" si="9"/>
      </c>
      <c r="Y52" s="66">
        <f t="shared" si="2"/>
      </c>
    </row>
    <row r="53" spans="2:25" ht="12.75">
      <c r="B53" s="82" t="str">
        <f t="shared" si="3"/>
        <v>---</v>
      </c>
      <c r="C53" s="214" t="str">
        <f t="shared" si="4"/>
        <v>---</v>
      </c>
      <c r="D53" s="214" t="str">
        <f t="shared" si="5"/>
        <v>---</v>
      </c>
      <c r="E53" s="214" t="str">
        <f t="shared" si="6"/>
        <v>---</v>
      </c>
      <c r="F53" s="214" t="str">
        <f t="shared" si="7"/>
        <v>---</v>
      </c>
      <c r="H53" s="144"/>
      <c r="I53" s="149" t="s">
        <v>34</v>
      </c>
      <c r="J53" s="133">
        <f>+IF(K53="","",(+ABS(IF(K53="",0,K53))+ABS(IF(L53="",0,L53))+ABS(IF(M53="",0,M53))+ABS(IF(N53="",0,N53))+ABS(IF(O53="",0,O53))+ABS(IF(P53="",0,P53))+ABS(IF(Q53="",0,Q53))+ABS(IF(R53="",0,R53))+ABS(IF(S53="",0,S53))+ABS(IF(T53="",0,T53)))/+COUNT(K53:T53))</f>
      </c>
      <c r="K53" s="133">
        <f>IF(X23="c",Tech!V23,"")</f>
      </c>
      <c r="L53" s="133">
        <f>IF(X23="c",Tech!W23,"")</f>
      </c>
      <c r="M53" s="133">
        <f>IF(AND(X23="c",Tech!X23&lt;&gt;""),Tech!X23,"")</f>
      </c>
      <c r="N53" s="133">
        <f>IF(AND(X23="c",Tech!Y23&lt;&gt;""),Tech!Y23,"")</f>
      </c>
      <c r="O53" s="133">
        <f>IF(AND(X23="c",Tech!Z23&lt;&gt;""),Tech!Z23,"")</f>
      </c>
      <c r="P53" s="133">
        <f>IF(AND(X23="c",Tech!AA23&lt;&gt;""),Tech!AA23,"")</f>
      </c>
      <c r="Q53" s="133">
        <f>IF(AND(X23="c",Tech!AB23&lt;&gt;""),Tech!AB23,"")</f>
      </c>
      <c r="R53" s="133">
        <f>IF(AND(X23="c",Tech!AC23&lt;&gt;""),Tech!AC23,"")</f>
      </c>
      <c r="S53" s="133">
        <f>IF(AND(X23="c",Tech!AD23&lt;&gt;""),Tech!AD23,"")</f>
      </c>
      <c r="T53" s="133">
        <f>IF(AND(X23="c",Tech!AE23&lt;&gt;""),Tech!AE23,"")</f>
      </c>
      <c r="U53" s="19"/>
      <c r="V53" s="85">
        <f t="shared" si="8"/>
      </c>
      <c r="W53" s="85">
        <f t="shared" si="1"/>
      </c>
      <c r="X53" s="147">
        <f t="shared" si="9"/>
      </c>
      <c r="Y53" s="66">
        <f t="shared" si="2"/>
      </c>
    </row>
    <row r="54" spans="2:25" ht="12.75">
      <c r="B54" s="82" t="str">
        <f t="shared" si="3"/>
        <v>---</v>
      </c>
      <c r="C54" s="214" t="str">
        <f t="shared" si="4"/>
        <v>---</v>
      </c>
      <c r="D54" s="214" t="str">
        <f t="shared" si="5"/>
        <v>---</v>
      </c>
      <c r="E54" s="214" t="str">
        <f t="shared" si="6"/>
        <v>---</v>
      </c>
      <c r="F54" s="214" t="str">
        <f t="shared" si="7"/>
        <v>---</v>
      </c>
      <c r="H54" s="144"/>
      <c r="I54" s="149" t="s">
        <v>35</v>
      </c>
      <c r="J54" s="133">
        <f>+IF(K54="","",(+ABS(IF(K54="",0,K54))+ABS(IF(L54="",0,L54))+ABS(IF(M54="",0,M54))+ABS(IF(N54="",0,N54))+ABS(IF(O54="",0,O54))+ABS(IF(P54="",0,P54))+ABS(IF(Q54="",0,Q54))+ABS(IF(R54="",0,R54))+ABS(IF(S54="",0,S54))+ABS(IF(T54="",0,T54)))/+COUNT(K54:T54))</f>
      </c>
      <c r="K54" s="133">
        <f>IF(X23="c",Tech!AH23,"")</f>
      </c>
      <c r="L54" s="133">
        <f>IF(X23="c",Tech!AI23,"")</f>
      </c>
      <c r="M54" s="133">
        <f>IF(AND(X23="c",Tech!AJ23&lt;&gt;""),Tech!AJ23,"")</f>
      </c>
      <c r="N54" s="133">
        <f>IF(AND(X23="c",Tech!AK23&lt;&gt;""),Tech!AK23,"")</f>
      </c>
      <c r="O54" s="133">
        <f>IF(AND(X23="c",Tech!AL23&lt;&gt;""),Tech!AL23,"")</f>
      </c>
      <c r="P54" s="133">
        <f>IF(AND(X23="c",Tech!AM23&lt;&gt;""),Tech!AM23,"")</f>
      </c>
      <c r="Q54" s="133">
        <f>IF(AND(X23="c",Tech!AN23&lt;&gt;""),Tech!AN23,"")</f>
      </c>
      <c r="R54" s="133">
        <f>IF(AND(X23="c",Tech!AO23&lt;&gt;""),Tech!AO23,"")</f>
      </c>
      <c r="S54" s="133">
        <f>IF(AND(X23="c",Tech!AP23&lt;&gt;""),Tech!AP23,"")</f>
      </c>
      <c r="T54" s="133">
        <f>IF(AND(X23="c",Tech!AQ23&lt;&gt;""),Tech!AQ23,"")</f>
      </c>
      <c r="U54" s="19"/>
      <c r="V54" s="85">
        <f t="shared" si="8"/>
      </c>
      <c r="W54" s="85">
        <f t="shared" si="1"/>
      </c>
      <c r="X54" s="147">
        <f t="shared" si="9"/>
      </c>
      <c r="Y54" s="66">
        <f t="shared" si="2"/>
      </c>
    </row>
    <row r="55" spans="2:25" ht="12.75">
      <c r="B55" s="82" t="str">
        <f t="shared" si="3"/>
        <v>---</v>
      </c>
      <c r="C55" s="214" t="str">
        <f t="shared" si="4"/>
        <v>---</v>
      </c>
      <c r="D55" s="214" t="str">
        <f t="shared" si="5"/>
        <v>---</v>
      </c>
      <c r="E55" s="214" t="str">
        <f t="shared" si="6"/>
        <v>---</v>
      </c>
      <c r="F55" s="214" t="str">
        <f t="shared" si="7"/>
        <v>---</v>
      </c>
      <c r="H55" s="144"/>
      <c r="I55" s="149" t="s">
        <v>33</v>
      </c>
      <c r="J55" s="133">
        <f>+IF(K55="","",(+ABS(IF(K55="",0,K55))+ABS(IF(L55="",0,L55))+ABS(IF(M55="",0,M55))+ABS(IF(N55="",0,N55))+ABS(IF(O55="",0,O55))+ABS(IF(P55="",0,P55))+ABS(IF(Q55="",0,Q55))+ABS(IF(R55="",0,R55))+ABS(IF(S55="",0,S55))+ABS(IF(T55="",0,T55)))/+COUNT(K55:T55))</f>
      </c>
      <c r="K55" s="133">
        <f>IF(X23="c",Tech!AT23,"")</f>
      </c>
      <c r="L55" s="133">
        <f>IF(X23="c",Tech!AU23,"")</f>
      </c>
      <c r="M55" s="133">
        <f>IF(AND(X23="c",Tech!AV23&lt;&gt;""),Tech!AV23,"")</f>
      </c>
      <c r="N55" s="133">
        <f>IF(AND(X23="c",Tech!AW23&lt;&gt;""),Tech!AW23,"")</f>
      </c>
      <c r="O55" s="133">
        <f>IF(AND(X23="c",Tech!AX23&lt;&gt;""),Tech!AX23,"")</f>
      </c>
      <c r="P55" s="133">
        <f>IF(AND(X23="c",Tech!AY23&lt;&gt;""),Tech!AY23,"")</f>
      </c>
      <c r="Q55" s="133">
        <f>IF(AND(X23="c",Tech!AZ23&lt;&gt;""),Tech!AZ23,"")</f>
      </c>
      <c r="R55" s="133">
        <f>IF(AND(X23="c",Tech!BA23&lt;&gt;""),Tech!BA23,"")</f>
      </c>
      <c r="S55" s="133">
        <f>IF(AND(X23="c",Tech!BB23&lt;&gt;""),Tech!BB23,"")</f>
      </c>
      <c r="T55" s="133">
        <f>IF(AND(X23="c",Tech!BC23&lt;&gt;""),Tech!BC23,"")</f>
      </c>
      <c r="U55" s="19"/>
      <c r="V55" s="85">
        <f t="shared" si="8"/>
      </c>
      <c r="W55" s="85">
        <f t="shared" si="1"/>
      </c>
      <c r="X55" s="147">
        <f t="shared" si="9"/>
      </c>
      <c r="Y55" s="66">
        <f t="shared" si="2"/>
      </c>
    </row>
    <row r="56" spans="2:25" ht="12.75">
      <c r="B56" s="82" t="str">
        <f t="shared" si="3"/>
        <v>---</v>
      </c>
      <c r="C56" s="214" t="str">
        <f t="shared" si="4"/>
        <v>---</v>
      </c>
      <c r="D56" s="214" t="str">
        <f t="shared" si="5"/>
        <v>---</v>
      </c>
      <c r="E56" s="214" t="str">
        <f t="shared" si="6"/>
        <v>---</v>
      </c>
      <c r="F56" s="214" t="str">
        <f t="shared" si="7"/>
        <v>---</v>
      </c>
      <c r="H56" s="144">
        <f>IF(V24="","",V24)</f>
      </c>
      <c r="I56" s="145" t="s">
        <v>32</v>
      </c>
      <c r="J56" s="146" t="s">
        <v>36</v>
      </c>
      <c r="K56" s="133">
        <f>IF($X$24="","",$Y$24*K$15)</f>
      </c>
      <c r="L56" s="133">
        <f aca="true" t="shared" si="16" ref="L56:S56">IF(OR(L$15="",$X$24=""),"",$Y$24*L$15)</f>
      </c>
      <c r="M56" s="133">
        <f t="shared" si="16"/>
      </c>
      <c r="N56" s="133">
        <f t="shared" si="16"/>
      </c>
      <c r="O56" s="133">
        <f t="shared" si="16"/>
      </c>
      <c r="P56" s="133">
        <f t="shared" si="16"/>
      </c>
      <c r="Q56" s="133">
        <f t="shared" si="16"/>
      </c>
      <c r="R56" s="133">
        <f t="shared" si="16"/>
      </c>
      <c r="S56" s="133">
        <f t="shared" si="16"/>
      </c>
      <c r="T56" s="133">
        <f>IF(OR(T$15="",$X$16=""),"",$Y$16*T$15)</f>
      </c>
      <c r="U56" s="19"/>
      <c r="V56" s="85">
        <f t="shared" si="8"/>
      </c>
      <c r="W56" s="85">
        <f t="shared" si="1"/>
      </c>
      <c r="X56" s="147">
        <f t="shared" si="9"/>
      </c>
      <c r="Y56" s="66">
        <f t="shared" si="2"/>
      </c>
    </row>
    <row r="57" spans="2:25" ht="12.75">
      <c r="B57" s="82" t="str">
        <f t="shared" si="3"/>
        <v>---</v>
      </c>
      <c r="C57" s="214" t="str">
        <f t="shared" si="4"/>
        <v>---</v>
      </c>
      <c r="D57" s="214" t="str">
        <f t="shared" si="5"/>
        <v>---</v>
      </c>
      <c r="E57" s="214" t="str">
        <f t="shared" si="6"/>
        <v>---</v>
      </c>
      <c r="F57" s="214" t="str">
        <f t="shared" si="7"/>
        <v>---</v>
      </c>
      <c r="H57" s="144"/>
      <c r="I57" s="148" t="s">
        <v>29</v>
      </c>
      <c r="J57" s="133">
        <f>+IF(K57="","",(+ABS(IF(K57="",0,K57))+ABS(IF(L57="",0,L57))+ABS(IF(M57="",0,M57))+ABS(IF(N57="",0,N57))+ABS(IF(O57="",0,O57))+ABS(IF(P57="",0,P57))+ABS(IF(Q57="",0,Q57))+ABS(IF(R57="",0,R57))+ABS(IF(S57="",0,S57))+ABS(IF(T57="",0,T57)))/+COUNT(K57:T57))</f>
      </c>
      <c r="K57" s="133">
        <f>IF(X24="b",Tech!J24,"")</f>
      </c>
      <c r="L57" s="133">
        <f>IF(X24="b",Tech!K24,"")</f>
      </c>
      <c r="M57" s="133">
        <f>IF(AND(X24="b",Tech!L24&lt;&gt;""),Tech!L24,"")</f>
      </c>
      <c r="N57" s="133">
        <f>IF(AND(X24="b",Tech!M24&lt;&gt;""),Tech!M24,"")</f>
      </c>
      <c r="O57" s="133">
        <f>IF(AND(X24="b",Tech!N24&lt;&gt;""),Tech!N24,"")</f>
      </c>
      <c r="P57" s="133">
        <f>IF(AND(X24="b",Tech!O24&lt;&gt;""),Tech!O24,"")</f>
      </c>
      <c r="Q57" s="133">
        <f>IF(AND(X24="b",Tech!P24&lt;&gt;""),Tech!P24,"")</f>
      </c>
      <c r="R57" s="133">
        <f>IF(AND(X24="b",Tech!Q24&lt;&gt;""),Tech!Q24,"")</f>
      </c>
      <c r="S57" s="133">
        <f>IF(AND(X24="b",Tech!R24&lt;&gt;""),Tech!R24,"")</f>
      </c>
      <c r="T57" s="133">
        <f>IF(AND(X24="b",Tech!S24&lt;&gt;""),Tech!S24,"")</f>
      </c>
      <c r="U57" s="19"/>
      <c r="V57" s="85">
        <f t="shared" si="8"/>
      </c>
      <c r="W57" s="85">
        <f t="shared" si="1"/>
      </c>
      <c r="X57" s="147">
        <f t="shared" si="9"/>
      </c>
      <c r="Y57" s="66">
        <f t="shared" si="2"/>
      </c>
    </row>
    <row r="58" spans="2:25" ht="12.75">
      <c r="B58" s="82" t="str">
        <f t="shared" si="3"/>
        <v>---</v>
      </c>
      <c r="C58" s="214" t="str">
        <f t="shared" si="4"/>
        <v>---</v>
      </c>
      <c r="D58" s="214" t="str">
        <f t="shared" si="5"/>
        <v>---</v>
      </c>
      <c r="E58" s="214" t="str">
        <f t="shared" si="6"/>
        <v>---</v>
      </c>
      <c r="F58" s="214" t="str">
        <f t="shared" si="7"/>
        <v>---</v>
      </c>
      <c r="H58" s="144"/>
      <c r="I58" s="149" t="s">
        <v>34</v>
      </c>
      <c r="J58" s="133">
        <f>+IF(K58="","",(+ABS(IF(K58="",0,K58))+ABS(IF(L58="",0,L58))+ABS(IF(M58="",0,M58))+ABS(IF(N58="",0,N58))+ABS(IF(O58="",0,O58))+ABS(IF(P58="",0,P58))+ABS(IF(Q58="",0,Q58))+ABS(IF(R58="",0,R58))+ABS(IF(S58="",0,S58))+ABS(IF(T58="",0,T58)))/+COUNT(K58:T58))</f>
      </c>
      <c r="K58" s="133">
        <f>IF(X24="c",Tech!V24,"")</f>
      </c>
      <c r="L58" s="133">
        <f>IF(X24="c",Tech!W24,"")</f>
      </c>
      <c r="M58" s="133">
        <f>IF(AND(X24="c",Tech!X24&lt;&gt;""),Tech!X24,"")</f>
      </c>
      <c r="N58" s="133">
        <f>IF(AND(X24="c",Tech!Y24&lt;&gt;""),Tech!Y24,"")</f>
      </c>
      <c r="O58" s="133">
        <f>IF(AND(X24="c",Tech!Z24&lt;&gt;""),Tech!Z24,"")</f>
      </c>
      <c r="P58" s="133">
        <f>IF(AND(X24="c",Tech!AA24&lt;&gt;""),Tech!AA24,"")</f>
      </c>
      <c r="Q58" s="133">
        <f>IF(AND(X24="c",Tech!AB24&lt;&gt;""),Tech!AB24,"")</f>
      </c>
      <c r="R58" s="133">
        <f>IF(AND(X24="c",Tech!AC24&lt;&gt;""),Tech!AC24,"")</f>
      </c>
      <c r="S58" s="133">
        <f>IF(AND(X24="c",Tech!AD24&lt;&gt;""),Tech!AD24,"")</f>
      </c>
      <c r="T58" s="133">
        <f>IF(AND(X24="c",Tech!AE24&lt;&gt;""),Tech!AE24,"")</f>
      </c>
      <c r="U58" s="19"/>
      <c r="V58" s="85">
        <f t="shared" si="8"/>
      </c>
      <c r="W58" s="85">
        <f t="shared" si="1"/>
      </c>
      <c r="X58" s="147">
        <f t="shared" si="9"/>
      </c>
      <c r="Y58" s="66">
        <f t="shared" si="2"/>
      </c>
    </row>
    <row r="59" spans="2:25" ht="12.75">
      <c r="B59" s="82" t="str">
        <f t="shared" si="3"/>
        <v>---</v>
      </c>
      <c r="C59" s="214" t="str">
        <f t="shared" si="4"/>
        <v>---</v>
      </c>
      <c r="D59" s="214" t="str">
        <f t="shared" si="5"/>
        <v>---</v>
      </c>
      <c r="E59" s="214" t="str">
        <f t="shared" si="6"/>
        <v>---</v>
      </c>
      <c r="F59" s="214" t="str">
        <f t="shared" si="7"/>
        <v>---</v>
      </c>
      <c r="H59" s="144"/>
      <c r="I59" s="149" t="s">
        <v>35</v>
      </c>
      <c r="J59" s="133">
        <f>+IF(K59="","",(+ABS(IF(K59="",0,K59))+ABS(IF(L59="",0,L59))+ABS(IF(M59="",0,M59))+ABS(IF(N59="",0,N59))+ABS(IF(O59="",0,O59))+ABS(IF(P59="",0,P59))+ABS(IF(Q59="",0,Q59))+ABS(IF(R59="",0,R59))+ABS(IF(S59="",0,S59))+ABS(IF(T59="",0,T59)))/+COUNT(K59:T59))</f>
      </c>
      <c r="K59" s="133">
        <f>IF(X24="c",Tech!AH24,"")</f>
      </c>
      <c r="L59" s="133">
        <f>IF(X24="c",Tech!AI24,"")</f>
      </c>
      <c r="M59" s="133">
        <f>IF(AND(X24="c",Tech!AJ24&lt;&gt;""),Tech!AJ24,"")</f>
      </c>
      <c r="N59" s="133">
        <f>IF(AND(X24="c",Tech!AK24&lt;&gt;""),Tech!AK24,"")</f>
      </c>
      <c r="O59" s="133">
        <f>IF(AND(X24="c",Tech!AL24&lt;&gt;""),Tech!AL24,"")</f>
      </c>
      <c r="P59" s="133">
        <f>IF(AND(X24="c",Tech!AM24&lt;&gt;""),Tech!AM24,"")</f>
      </c>
      <c r="Q59" s="133">
        <f>IF(AND(X24="c",Tech!AN24&lt;&gt;""),Tech!AN24,"")</f>
      </c>
      <c r="R59" s="133">
        <f>IF(AND(X24="c",Tech!AO24&lt;&gt;""),Tech!AO24,"")</f>
      </c>
      <c r="S59" s="133">
        <f>IF(AND(X24="c",Tech!AP24&lt;&gt;""),Tech!AP24,"")</f>
      </c>
      <c r="T59" s="133">
        <f>IF(AND(X24="c",Tech!AQ24&lt;&gt;""),Tech!AQ24,"")</f>
      </c>
      <c r="U59" s="19"/>
      <c r="V59" s="85">
        <f t="shared" si="8"/>
      </c>
      <c r="W59" s="85">
        <f t="shared" si="1"/>
      </c>
      <c r="X59" s="147">
        <f t="shared" si="9"/>
      </c>
      <c r="Y59" s="66">
        <f t="shared" si="2"/>
      </c>
    </row>
    <row r="60" spans="2:25" ht="12.75">
      <c r="B60" s="82" t="str">
        <f t="shared" si="3"/>
        <v>---</v>
      </c>
      <c r="C60" s="214" t="str">
        <f t="shared" si="4"/>
        <v>---</v>
      </c>
      <c r="D60" s="214" t="str">
        <f t="shared" si="5"/>
        <v>---</v>
      </c>
      <c r="E60" s="214" t="str">
        <f t="shared" si="6"/>
        <v>---</v>
      </c>
      <c r="F60" s="214" t="str">
        <f t="shared" si="7"/>
        <v>---</v>
      </c>
      <c r="H60" s="144"/>
      <c r="I60" s="149" t="s">
        <v>33</v>
      </c>
      <c r="J60" s="133">
        <f>+IF(K60="","",(+ABS(IF(K60="",0,K60))+ABS(IF(L60="",0,L60))+ABS(IF(M60="",0,M60))+ABS(IF(N60="",0,N60))+ABS(IF(O60="",0,O60))+ABS(IF(P60="",0,P60))+ABS(IF(Q60="",0,Q60))+ABS(IF(R60="",0,R60))+ABS(IF(S60="",0,S60))+ABS(IF(T60="",0,T60)))/+COUNT(K60:T60))</f>
      </c>
      <c r="K60" s="133">
        <f>IF(X24="c",Tech!AT24,"")</f>
      </c>
      <c r="L60" s="133">
        <f>IF(X24="c",Tech!AU24,"")</f>
      </c>
      <c r="M60" s="133">
        <f>IF(AND(X24="c",Tech!AV24&lt;&gt;""),Tech!AV24,"")</f>
      </c>
      <c r="N60" s="133">
        <f>IF(AND(X24="c",Tech!AW24&lt;&gt;""),Tech!AW24,"")</f>
      </c>
      <c r="O60" s="133">
        <f>IF(AND(X24="c",Tech!AX24&lt;&gt;""),Tech!AX24,"")</f>
      </c>
      <c r="P60" s="133">
        <f>IF(AND(X24="c",Tech!AY24&lt;&gt;""),Tech!AY24,"")</f>
      </c>
      <c r="Q60" s="133">
        <f>IF(AND(X24="c",Tech!AZ24&lt;&gt;""),Tech!AZ24,"")</f>
      </c>
      <c r="R60" s="133">
        <f>IF(AND(X24="c",Tech!BA24&lt;&gt;""),Tech!BA24,"")</f>
      </c>
      <c r="S60" s="133">
        <f>IF(AND(X24="c",Tech!BB24&lt;&gt;""),Tech!BB24,"")</f>
      </c>
      <c r="T60" s="133">
        <f>IF(AND(X24="c",Tech!BC24&lt;&gt;""),Tech!BC24,"")</f>
      </c>
      <c r="U60" s="19"/>
      <c r="V60" s="85">
        <f t="shared" si="8"/>
      </c>
      <c r="W60" s="85">
        <f t="shared" si="1"/>
      </c>
      <c r="X60" s="147">
        <f t="shared" si="9"/>
      </c>
      <c r="Y60" s="66">
        <f t="shared" si="2"/>
      </c>
    </row>
    <row r="61" spans="2:25" ht="12.75">
      <c r="B61" s="82" t="str">
        <f t="shared" si="3"/>
        <v>---</v>
      </c>
      <c r="C61" s="214" t="str">
        <f t="shared" si="4"/>
        <v>---</v>
      </c>
      <c r="D61" s="214" t="str">
        <f t="shared" si="5"/>
        <v>---</v>
      </c>
      <c r="E61" s="214" t="str">
        <f t="shared" si="6"/>
        <v>---</v>
      </c>
      <c r="F61" s="214" t="str">
        <f t="shared" si="7"/>
        <v>---</v>
      </c>
      <c r="H61" s="144">
        <f>IF(V25="","",V25)</f>
      </c>
      <c r="I61" s="145" t="s">
        <v>32</v>
      </c>
      <c r="J61" s="146" t="s">
        <v>36</v>
      </c>
      <c r="K61" s="133">
        <f>IF($X$25="","",$Y$25*K$15)</f>
      </c>
      <c r="L61" s="133">
        <f aca="true" t="shared" si="17" ref="L61:T61">IF(OR(L$15="",$X$25=""),"",$Y$25*L$15)</f>
      </c>
      <c r="M61" s="133">
        <f t="shared" si="17"/>
      </c>
      <c r="N61" s="133">
        <f t="shared" si="17"/>
      </c>
      <c r="O61" s="133">
        <f t="shared" si="17"/>
      </c>
      <c r="P61" s="133">
        <f t="shared" si="17"/>
      </c>
      <c r="Q61" s="133">
        <f t="shared" si="17"/>
      </c>
      <c r="R61" s="133">
        <f t="shared" si="17"/>
      </c>
      <c r="S61" s="133">
        <f t="shared" si="17"/>
      </c>
      <c r="T61" s="133">
        <f t="shared" si="17"/>
      </c>
      <c r="U61" s="19"/>
      <c r="V61" s="85">
        <f t="shared" si="8"/>
      </c>
      <c r="W61" s="85">
        <f t="shared" si="1"/>
      </c>
      <c r="X61" s="147">
        <f t="shared" si="9"/>
      </c>
      <c r="Y61" s="66">
        <f t="shared" si="2"/>
      </c>
    </row>
    <row r="62" spans="2:25" ht="12.75">
      <c r="B62" s="82" t="str">
        <f t="shared" si="3"/>
        <v>---</v>
      </c>
      <c r="C62" s="214" t="str">
        <f t="shared" si="4"/>
        <v>---</v>
      </c>
      <c r="D62" s="214" t="str">
        <f t="shared" si="5"/>
        <v>---</v>
      </c>
      <c r="E62" s="214" t="str">
        <f t="shared" si="6"/>
        <v>---</v>
      </c>
      <c r="F62" s="214" t="str">
        <f t="shared" si="7"/>
        <v>---</v>
      </c>
      <c r="H62" s="144"/>
      <c r="I62" s="148" t="s">
        <v>29</v>
      </c>
      <c r="J62" s="133">
        <f>+IF(K62="","",(+ABS(IF(K62="",0,K62))+ABS(IF(L62="",0,L62))+ABS(IF(M62="",0,M62))+ABS(IF(N62="",0,N62))+ABS(IF(O62="",0,O62))+ABS(IF(P62="",0,P62))+ABS(IF(Q62="",0,Q62))+ABS(IF(R62="",0,R62))+ABS(IF(S62="",0,S62))+ABS(IF(T62="",0,T62)))/+COUNT(K62:T62))</f>
      </c>
      <c r="K62" s="133">
        <f>IF(X25="b",Tech!J25,"")</f>
      </c>
      <c r="L62" s="133">
        <f>IF(X25="b",Tech!K25,"")</f>
      </c>
      <c r="M62" s="133">
        <f>IF(AND(X25="b",Tech!L25&lt;&gt;""),Tech!L25,"")</f>
      </c>
      <c r="N62" s="133">
        <f>IF(AND(X25="b",Tech!M25&lt;&gt;""),Tech!M25,"")</f>
      </c>
      <c r="O62" s="133">
        <f>IF(AND(X25="b",Tech!N25&lt;&gt;""),Tech!N25,"")</f>
      </c>
      <c r="P62" s="133">
        <f>IF(AND(X25="b",Tech!O25&lt;&gt;""),Tech!O25,"")</f>
      </c>
      <c r="Q62" s="133">
        <f>IF(AND(X25="b",Tech!P25&lt;&gt;""),Tech!P25,"")</f>
      </c>
      <c r="R62" s="133">
        <f>IF(AND(X25="b",Tech!Q25&lt;&gt;""),Tech!Q25,"")</f>
      </c>
      <c r="S62" s="133">
        <f>IF(AND(X25="b",Tech!R25&lt;&gt;""),Tech!R25,"")</f>
      </c>
      <c r="T62" s="133">
        <f>IF(AND(X25="b",Tech!S25&lt;&gt;""),Tech!S25,"")</f>
      </c>
      <c r="U62" s="19"/>
      <c r="V62" s="85">
        <f t="shared" si="8"/>
      </c>
      <c r="W62" s="85">
        <f t="shared" si="1"/>
      </c>
      <c r="X62" s="147">
        <f t="shared" si="9"/>
      </c>
      <c r="Y62" s="66">
        <f t="shared" si="2"/>
      </c>
    </row>
    <row r="63" spans="2:25" ht="12.75">
      <c r="B63" s="82" t="str">
        <f t="shared" si="3"/>
        <v>---</v>
      </c>
      <c r="C63" s="214" t="str">
        <f t="shared" si="4"/>
        <v>---</v>
      </c>
      <c r="D63" s="214" t="str">
        <f t="shared" si="5"/>
        <v>---</v>
      </c>
      <c r="E63" s="214" t="str">
        <f t="shared" si="6"/>
        <v>---</v>
      </c>
      <c r="F63" s="214" t="str">
        <f t="shared" si="7"/>
        <v>---</v>
      </c>
      <c r="H63" s="144"/>
      <c r="I63" s="149" t="s">
        <v>34</v>
      </c>
      <c r="J63" s="133">
        <f>+IF(K63="","",(+ABS(IF(K63="",0,K63))+ABS(IF(L63="",0,L63))+ABS(IF(M63="",0,M63))+ABS(IF(N63="",0,N63))+ABS(IF(O63="",0,O63))+ABS(IF(P63="",0,P63))+ABS(IF(Q63="",0,Q63))+ABS(IF(R63="",0,R63))+ABS(IF(S63="",0,S63))+ABS(IF(T63="",0,T63)))/+COUNT(K63:T63))</f>
      </c>
      <c r="K63" s="133">
        <f>IF(X25="c",Tech!V25,"")</f>
      </c>
      <c r="L63" s="133">
        <f>IF(X25="c",Tech!W25,"")</f>
      </c>
      <c r="M63" s="133">
        <f>IF(AND(X25="c",Tech!X25&lt;&gt;""),Tech!X25,"")</f>
      </c>
      <c r="N63" s="133">
        <f>IF(AND(X25="c",Tech!Y25&lt;&gt;""),Tech!Y25,"")</f>
      </c>
      <c r="O63" s="133">
        <f>IF(AND(X25="c",Tech!Z25&lt;&gt;""),Tech!Z25,"")</f>
      </c>
      <c r="P63" s="133">
        <f>IF(AND(X25="c",Tech!AA25&lt;&gt;""),Tech!AA25,"")</f>
      </c>
      <c r="Q63" s="133">
        <f>IF(AND(X25="c",Tech!AB25&lt;&gt;""),Tech!AB25,"")</f>
      </c>
      <c r="R63" s="133">
        <f>IF(AND(X25="c",Tech!AC25&lt;&gt;""),Tech!AC25,"")</f>
      </c>
      <c r="S63" s="133">
        <f>IF(AND(X25="c",Tech!AD25&lt;&gt;""),Tech!AD25,"")</f>
      </c>
      <c r="T63" s="133">
        <f>IF(AND(X25="c",Tech!AE25&lt;&gt;""),Tech!AE25,"")</f>
      </c>
      <c r="U63" s="19"/>
      <c r="V63" s="85">
        <f t="shared" si="8"/>
      </c>
      <c r="W63" s="85">
        <f t="shared" si="1"/>
      </c>
      <c r="X63" s="147">
        <f t="shared" si="9"/>
      </c>
      <c r="Y63" s="66">
        <f t="shared" si="2"/>
      </c>
    </row>
    <row r="64" spans="2:25" ht="12.75">
      <c r="B64" s="82" t="str">
        <f t="shared" si="3"/>
        <v>---</v>
      </c>
      <c r="C64" s="214" t="str">
        <f t="shared" si="4"/>
        <v>---</v>
      </c>
      <c r="D64" s="214" t="str">
        <f t="shared" si="5"/>
        <v>---</v>
      </c>
      <c r="E64" s="214" t="str">
        <f t="shared" si="6"/>
        <v>---</v>
      </c>
      <c r="F64" s="214" t="str">
        <f t="shared" si="7"/>
        <v>---</v>
      </c>
      <c r="H64" s="144"/>
      <c r="I64" s="149" t="s">
        <v>35</v>
      </c>
      <c r="J64" s="133">
        <f>+IF(K64="","",(+ABS(IF(K64="",0,K64))+ABS(IF(L64="",0,L64))+ABS(IF(M64="",0,M64))+ABS(IF(N64="",0,N64))+ABS(IF(O64="",0,O64))+ABS(IF(P64="",0,P64))+ABS(IF(Q64="",0,Q64))+ABS(IF(R64="",0,R64))+ABS(IF(S64="",0,S64))+ABS(IF(T64="",0,T64)))/+COUNT(K64:T64))</f>
      </c>
      <c r="K64" s="133">
        <f>IF(X25="c",Tech!AH25,"")</f>
      </c>
      <c r="L64" s="133">
        <f>IF(X25="c",Tech!AI25,"")</f>
      </c>
      <c r="M64" s="133">
        <f>IF(AND(X25="c",Tech!AJ25&lt;&gt;""),Tech!AJ25,"")</f>
      </c>
      <c r="N64" s="133">
        <f>IF(AND(X25="c",Tech!AK25&lt;&gt;""),Tech!AK25,"")</f>
      </c>
      <c r="O64" s="133">
        <f>IF(AND(X25="c",Tech!AL25&lt;&gt;""),Tech!AL25,"")</f>
      </c>
      <c r="P64" s="133">
        <f>IF(AND(X25="c",Tech!AM25&lt;&gt;""),Tech!AM25,"")</f>
      </c>
      <c r="Q64" s="133">
        <f>IF(AND(X25="c",Tech!AN25&lt;&gt;""),Tech!AN25,"")</f>
      </c>
      <c r="R64" s="133">
        <f>IF(AND(X25="c",Tech!AO25&lt;&gt;""),Tech!AO25,"")</f>
      </c>
      <c r="S64" s="133">
        <f>IF(AND(X25="c",Tech!AP25&lt;&gt;""),Tech!AP25,"")</f>
      </c>
      <c r="T64" s="133">
        <f>IF(AND(X25="c",Tech!AQ25&lt;&gt;""),Tech!AQ25,"")</f>
      </c>
      <c r="U64" s="19"/>
      <c r="V64" s="85">
        <f t="shared" si="8"/>
      </c>
      <c r="W64" s="85">
        <f t="shared" si="1"/>
      </c>
      <c r="X64" s="147">
        <f t="shared" si="9"/>
      </c>
      <c r="Y64" s="66">
        <f t="shared" si="2"/>
      </c>
    </row>
    <row r="65" spans="2:25" ht="12.75">
      <c r="B65" s="114" t="str">
        <f t="shared" si="3"/>
        <v>---</v>
      </c>
      <c r="C65" s="176" t="str">
        <f t="shared" si="4"/>
        <v>---</v>
      </c>
      <c r="D65" s="176" t="str">
        <f t="shared" si="5"/>
        <v>---</v>
      </c>
      <c r="E65" s="176" t="str">
        <f t="shared" si="6"/>
        <v>---</v>
      </c>
      <c r="F65" s="176" t="str">
        <f t="shared" si="7"/>
        <v>---</v>
      </c>
      <c r="H65" s="144"/>
      <c r="I65" s="149" t="s">
        <v>33</v>
      </c>
      <c r="J65" s="133">
        <f>+IF(K65="","",(+ABS(IF(K65="",0,K65))+ABS(IF(L65="",0,L65))+ABS(IF(M65="",0,M65))+ABS(IF(N65="",0,N65))+ABS(IF(O65="",0,O65))+ABS(IF(P65="",0,P65))+ABS(IF(Q65="",0,Q65))+ABS(IF(R65="",0,R65))+ABS(IF(S65="",0,S65))+ABS(IF(T65="",0,T65)))/+COUNT(K65:T65))</f>
      </c>
      <c r="K65" s="133">
        <f>IF(X25="c",Tech!AT25,"")</f>
      </c>
      <c r="L65" s="133">
        <f>IF(X25="c",Tech!AU25,"")</f>
      </c>
      <c r="M65" s="133">
        <f>IF(AND(X25="c",Tech!AV25&lt;&gt;""),Tech!AV25,"")</f>
      </c>
      <c r="N65" s="133">
        <f>IF(AND(X25="c",Tech!AW25&lt;&gt;""),Tech!AW25,"")</f>
      </c>
      <c r="O65" s="133">
        <f>IF(AND(X25="c",Tech!AX25&lt;&gt;""),Tech!AX25,"")</f>
      </c>
      <c r="P65" s="133">
        <f>IF(AND(X25="c",Tech!AY25&lt;&gt;""),Tech!AY25,"")</f>
      </c>
      <c r="Q65" s="133">
        <f>IF(AND(X25="c",Tech!AZ25&lt;&gt;""),Tech!AZ25,"")</f>
      </c>
      <c r="R65" s="133">
        <f>IF(AND(X25="c",Tech!BA25&lt;&gt;""),Tech!BA25,"")</f>
      </c>
      <c r="S65" s="133">
        <f>IF(AND(X25="c",Tech!BB25&lt;&gt;""),Tech!BB25,"")</f>
      </c>
      <c r="T65" s="133">
        <f>IF(AND(X25="c",Tech!BC25&lt;&gt;""),Tech!BC25,"")</f>
      </c>
      <c r="U65" s="19"/>
      <c r="V65" s="114">
        <f t="shared" si="8"/>
      </c>
      <c r="W65" s="114">
        <f t="shared" si="1"/>
      </c>
      <c r="X65" s="147">
        <f t="shared" si="9"/>
      </c>
      <c r="Y65" s="66">
        <f t="shared" si="2"/>
      </c>
    </row>
    <row r="66" spans="8:24" ht="12.75">
      <c r="H66" s="144">
        <f>IF(V26="","",V26)</f>
      </c>
      <c r="I66" s="145" t="s">
        <v>32</v>
      </c>
      <c r="J66" s="146" t="s">
        <v>36</v>
      </c>
      <c r="K66" s="133">
        <f>IF($X$26="","",$Y$26*K$15)</f>
      </c>
      <c r="L66" s="133">
        <f aca="true" t="shared" si="18" ref="L66:T66">IF(OR(L$15="",$X$26=""),"",$Y$26*L$15)</f>
      </c>
      <c r="M66" s="133">
        <f t="shared" si="18"/>
      </c>
      <c r="N66" s="133">
        <f t="shared" si="18"/>
      </c>
      <c r="O66" s="133">
        <f t="shared" si="18"/>
      </c>
      <c r="P66" s="133">
        <f t="shared" si="18"/>
      </c>
      <c r="Q66" s="133">
        <f t="shared" si="18"/>
      </c>
      <c r="R66" s="133">
        <f t="shared" si="18"/>
      </c>
      <c r="S66" s="133">
        <f t="shared" si="18"/>
      </c>
      <c r="T66" s="133">
        <f t="shared" si="18"/>
      </c>
      <c r="U66" s="19"/>
      <c r="V66" s="85"/>
      <c r="W66" s="132"/>
      <c r="X66" s="46"/>
    </row>
    <row r="67" spans="8:21" ht="12.75">
      <c r="H67" s="144"/>
      <c r="I67" s="148" t="s">
        <v>29</v>
      </c>
      <c r="J67" s="133">
        <f>+IF(K67="","",(+ABS(IF(K67="",0,K67))+ABS(IF(L67="",0,L67))+ABS(IF(M67="",0,M67))+ABS(IF(N67="",0,N67))+ABS(IF(O67="",0,O67))+ABS(IF(P67="",0,P67))+ABS(IF(Q67="",0,Q67))+ABS(IF(R67="",0,R67))+ABS(IF(S67="",0,S67))+ABS(IF(T67="",0,T67)))/+COUNT(K67:T67))</f>
      </c>
      <c r="K67" s="133">
        <f>IF(X26="b",Tech!J26,"")</f>
      </c>
      <c r="L67" s="133">
        <f>IF(X26="b",Tech!K26,"")</f>
      </c>
      <c r="M67" s="133">
        <f>IF(AND(X26="b",Tech!L26&lt;&gt;""),Tech!L26,"")</f>
      </c>
      <c r="N67" s="133">
        <f>IF(AND(X26="b",Tech!M26&lt;&gt;""),Tech!M26,"")</f>
      </c>
      <c r="O67" s="133">
        <f>IF(AND(X26="b",Tech!N26&lt;&gt;""),Tech!N26,"")</f>
      </c>
      <c r="P67" s="133">
        <f>IF(AND(X26="b",Tech!O26&lt;&gt;""),Tech!O26,"")</f>
      </c>
      <c r="Q67" s="133">
        <f>IF(AND(X26="b",Tech!P26&lt;&gt;""),Tech!P26,"")</f>
      </c>
      <c r="R67" s="133">
        <f>IF(AND(X26="b",Tech!Q26&lt;&gt;""),Tech!Q26,"")</f>
      </c>
      <c r="S67" s="133">
        <f>IF(AND(X26="b",Tech!R26&lt;&gt;""),Tech!R26,"")</f>
      </c>
      <c r="T67" s="133">
        <f>IF(AND(X26="b",Tech!S26&lt;&gt;""),Tech!S26,"")</f>
      </c>
      <c r="U67" s="19"/>
    </row>
    <row r="68" spans="8:21" ht="12.75">
      <c r="H68" s="144"/>
      <c r="I68" s="149" t="s">
        <v>34</v>
      </c>
      <c r="J68" s="133">
        <f>+IF(K68="","",(+ABS(IF(K68="",0,K68))+ABS(IF(L68="",0,L68))+ABS(IF(M68="",0,M68))+ABS(IF(N68="",0,N68))+ABS(IF(O68="",0,O68))+ABS(IF(P68="",0,P68))+ABS(IF(Q68="",0,Q68))+ABS(IF(R68="",0,R68))+ABS(IF(S68="",0,S68))+ABS(IF(T68="",0,T68)))/+COUNT(K68:T68))</f>
      </c>
      <c r="K68" s="133">
        <f>IF(X26="c",Tech!V26,"")</f>
      </c>
      <c r="L68" s="133">
        <f>IF(X26="c",Tech!W26,"")</f>
      </c>
      <c r="M68" s="133">
        <f>IF(AND(X26="c",Tech!X26&lt;&gt;""),Tech!X26,"")</f>
      </c>
      <c r="N68" s="133">
        <f>IF(AND(X26="c",Tech!Y26&lt;&gt;""),Tech!Y26,"")</f>
      </c>
      <c r="O68" s="133">
        <f>IF(AND(X26="c",Tech!Z26&lt;&gt;""),Tech!Z26,"")</f>
      </c>
      <c r="P68" s="133">
        <f>IF(AND(X26="c",Tech!AA26&lt;&gt;""),Tech!AA26,"")</f>
      </c>
      <c r="Q68" s="133">
        <f>IF(AND(X26="c",Tech!AB26&lt;&gt;""),Tech!AB26,"")</f>
      </c>
      <c r="R68" s="133">
        <f>IF(AND(X26="c",Tech!AC26&lt;&gt;""),Tech!AC26,"")</f>
      </c>
      <c r="S68" s="133">
        <f>IF(AND(X26="c",Tech!AD26&lt;&gt;""),Tech!AD26,"")</f>
      </c>
      <c r="T68" s="133">
        <f>IF(AND(X26="c",Tech!AE26&lt;&gt;""),Tech!AE26,"")</f>
      </c>
      <c r="U68" s="19"/>
    </row>
    <row r="69" spans="8:21" ht="12.75">
      <c r="H69" s="144"/>
      <c r="I69" s="149" t="s">
        <v>35</v>
      </c>
      <c r="J69" s="133">
        <f>+IF(K69="","",(+ABS(IF(K69="",0,K69))+ABS(IF(L69="",0,L69))+ABS(IF(M69="",0,M69))+ABS(IF(N69="",0,N69))+ABS(IF(O69="",0,O69))+ABS(IF(P69="",0,P69))+ABS(IF(Q69="",0,Q69))+ABS(IF(R69="",0,R69))+ABS(IF(S69="",0,S69))+ABS(IF(T69="",0,T69)))/+COUNT(K69:T69))</f>
      </c>
      <c r="K69" s="133">
        <f>IF(X26="c",Tech!AH26,"")</f>
      </c>
      <c r="L69" s="133">
        <f>IF(X26="c",Tech!AI26,"")</f>
      </c>
      <c r="M69" s="133">
        <f>IF(AND(X26="c",Tech!AJ26&lt;&gt;""),Tech!AJ26,"")</f>
      </c>
      <c r="N69" s="133">
        <f>IF(AND(X26="c",Tech!AK26&lt;&gt;""),Tech!AK26,"")</f>
      </c>
      <c r="O69" s="133">
        <f>IF(AND(X26="c",Tech!AL26&lt;&gt;""),Tech!AL26,"")</f>
      </c>
      <c r="P69" s="133">
        <f>IF(AND(X26="c",Tech!AM26&lt;&gt;""),Tech!AM26,"")</f>
      </c>
      <c r="Q69" s="133">
        <f>IF(AND(X26="c",Tech!AN26&lt;&gt;""),Tech!AN26,"")</f>
      </c>
      <c r="R69" s="133">
        <f>IF(AND(X26="c",Tech!AO26&lt;&gt;""),Tech!AO26,"")</f>
      </c>
      <c r="S69" s="133">
        <f>IF(AND(X26="c",Tech!AP26&lt;&gt;""),Tech!AP26,"")</f>
      </c>
      <c r="T69" s="133">
        <f>IF(AND(X26="c",Tech!AQ26&lt;&gt;""),Tech!AQ26,"")</f>
      </c>
      <c r="U69" s="19"/>
    </row>
    <row r="70" spans="8:21" ht="12.75">
      <c r="H70" s="144"/>
      <c r="I70" s="149" t="s">
        <v>33</v>
      </c>
      <c r="J70" s="133">
        <f>+IF(K70="","",(+ABS(IF(K70="",0,K70))+ABS(IF(L70="",0,L70))+ABS(IF(M70="",0,M70))+ABS(IF(N70="",0,N70))+ABS(IF(O70="",0,O70))+ABS(IF(P70="",0,P70))+ABS(IF(Q70="",0,Q70))+ABS(IF(R70="",0,R70))+ABS(IF(S70="",0,S70))+ABS(IF(T70="",0,T70)))/+COUNT(K70:T70))</f>
      </c>
      <c r="K70" s="133">
        <f>IF(X26="c",Tech!AT26,"")</f>
      </c>
      <c r="L70" s="133">
        <f>IF(X26="c",Tech!AU26,"")</f>
      </c>
      <c r="M70" s="133">
        <f>IF(AND(X26="c",Tech!AV26&lt;&gt;""),Tech!AV26,"")</f>
      </c>
      <c r="N70" s="133">
        <f>IF(AND(X26="c",Tech!AW26&lt;&gt;""),Tech!AW26,"")</f>
      </c>
      <c r="O70" s="133">
        <f>IF(AND(X26="c",Tech!AX26&lt;&gt;""),Tech!AX26,"")</f>
      </c>
      <c r="P70" s="133">
        <f>IF(AND(X26="c",Tech!AY26&lt;&gt;""),Tech!AY26,"")</f>
      </c>
      <c r="Q70" s="133">
        <f>IF(AND(X26="c",Tech!AZ26&lt;&gt;""),Tech!AZ26,"")</f>
      </c>
      <c r="R70" s="133">
        <f>IF(AND(X26="c",Tech!BA26&lt;&gt;""),Tech!BA26,"")</f>
      </c>
      <c r="S70" s="133">
        <f>IF(AND(X26="c",Tech!BB26&lt;&gt;""),Tech!BB26,"")</f>
      </c>
      <c r="T70" s="133">
        <f>IF(AND(X26="c",Tech!BC26&lt;&gt;""),Tech!BC26,"")</f>
      </c>
      <c r="U70" s="19"/>
    </row>
    <row r="71" spans="8:21" ht="12.75">
      <c r="H71" s="144">
        <f>IF(V27="","",V27)</f>
      </c>
      <c r="I71" s="145" t="s">
        <v>32</v>
      </c>
      <c r="J71" s="146" t="s">
        <v>36</v>
      </c>
      <c r="K71" s="133">
        <f>IF($X$27="","",$Y$27*K$15)</f>
      </c>
      <c r="L71" s="133">
        <f aca="true" t="shared" si="19" ref="L71:T71">IF(OR(L$15="",$X$27=""),"",$Y$27*L$15)</f>
      </c>
      <c r="M71" s="133">
        <f t="shared" si="19"/>
      </c>
      <c r="N71" s="133">
        <f t="shared" si="19"/>
      </c>
      <c r="O71" s="133">
        <f t="shared" si="19"/>
      </c>
      <c r="P71" s="133">
        <f t="shared" si="19"/>
      </c>
      <c r="Q71" s="133">
        <f t="shared" si="19"/>
      </c>
      <c r="R71" s="133">
        <f t="shared" si="19"/>
      </c>
      <c r="S71" s="133">
        <f t="shared" si="19"/>
      </c>
      <c r="T71" s="133">
        <f t="shared" si="19"/>
      </c>
      <c r="U71" s="19"/>
    </row>
    <row r="72" spans="8:21" ht="12.75">
      <c r="H72" s="144"/>
      <c r="I72" s="148" t="s">
        <v>29</v>
      </c>
      <c r="J72" s="133">
        <f>+IF(K72="","",(+ABS(IF(K72="",0,K72))+ABS(IF(L72="",0,L72))+ABS(IF(M72="",0,M72))+ABS(IF(N72="",0,N72))+ABS(IF(O72="",0,O72))+ABS(IF(P72="",0,P72))+ABS(IF(Q72="",0,Q72))+ABS(IF(R72="",0,R72))+ABS(IF(S72="",0,S72))+ABS(IF(T72="",0,T72)))/+COUNT(K72:T72))</f>
      </c>
      <c r="K72" s="133">
        <f>IF(X27="b",Tech!J27,"")</f>
      </c>
      <c r="L72" s="133">
        <f>IF(X27="b",Tech!K27,"")</f>
      </c>
      <c r="M72" s="133">
        <f>IF(AND(X27="b",Tech!L27&lt;&gt;""),Tech!L27,"")</f>
      </c>
      <c r="N72" s="133">
        <f>IF(AND(X27="b",Tech!M27&lt;&gt;""),Tech!M27,"")</f>
      </c>
      <c r="O72" s="133">
        <f>IF(AND(X27="b",Tech!N27&lt;&gt;""),Tech!N27,"")</f>
      </c>
      <c r="P72" s="133">
        <f>IF(AND(X27="b",Tech!O27&lt;&gt;""),Tech!O27,"")</f>
      </c>
      <c r="Q72" s="133">
        <f>IF(AND(X27="b",Tech!P27&lt;&gt;""),Tech!P27,"")</f>
      </c>
      <c r="R72" s="133">
        <f>IF(AND(X27="b",Tech!Q27&lt;&gt;""),Tech!Q27,"")</f>
      </c>
      <c r="S72" s="133">
        <f>IF(AND(X27="b",Tech!R27&lt;&gt;""),Tech!R27,"")</f>
      </c>
      <c r="T72" s="133">
        <f>IF(AND(X27="b",Tech!S27&lt;&gt;""),Tech!S27,"")</f>
      </c>
      <c r="U72" s="19"/>
    </row>
    <row r="73" spans="8:21" ht="12.75">
      <c r="H73" s="144"/>
      <c r="I73" s="149" t="s">
        <v>34</v>
      </c>
      <c r="J73" s="133">
        <f>+IF(K73="","",(+ABS(IF(K73="",0,K73))+ABS(IF(L73="",0,L73))+ABS(IF(M73="",0,M73))+ABS(IF(N73="",0,N73))+ABS(IF(O73="",0,O73))+ABS(IF(P73="",0,P73))+ABS(IF(Q73="",0,Q73))+ABS(IF(R73="",0,R73))+ABS(IF(S73="",0,S73))+ABS(IF(T73="",0,T73)))/+COUNT(K73:T73))</f>
      </c>
      <c r="K73" s="133">
        <f>IF(X27="c",Tech!V27,"")</f>
      </c>
      <c r="L73" s="133">
        <f>IF(X27="c",Tech!W27,"")</f>
      </c>
      <c r="M73" s="133">
        <f>IF(AND(X27="c",Tech!X27&lt;&gt;""),Tech!X27,"")</f>
      </c>
      <c r="N73" s="133">
        <f>IF(AND(X27="c",Tech!Y27&lt;&gt;""),Tech!Y27,"")</f>
      </c>
      <c r="O73" s="133">
        <f>IF(AND(X27="c",Tech!Z27&lt;&gt;""),Tech!Z27,"")</f>
      </c>
      <c r="P73" s="133">
        <f>IF(AND(X27="c",Tech!AA27&lt;&gt;""),Tech!AA27,"")</f>
      </c>
      <c r="Q73" s="133">
        <f>IF(AND(X27="c",Tech!AB27&lt;&gt;""),Tech!AB27,"")</f>
      </c>
      <c r="R73" s="133">
        <f>IF(AND(X27="c",Tech!AC27&lt;&gt;""),Tech!AC27,"")</f>
      </c>
      <c r="S73" s="133">
        <f>IF(AND(X27="c",Tech!AD27&lt;&gt;""),Tech!AD27,"")</f>
      </c>
      <c r="T73" s="133">
        <f>IF(AND(X27="c",Tech!AE27&lt;&gt;""),Tech!AE27,"")</f>
      </c>
      <c r="U73" s="19"/>
    </row>
    <row r="74" spans="8:21" ht="12.75">
      <c r="H74" s="144"/>
      <c r="I74" s="149" t="s">
        <v>35</v>
      </c>
      <c r="J74" s="133">
        <f>+IF(K74="","",(+ABS(IF(K74="",0,K74))+ABS(IF(L74="",0,L74))+ABS(IF(M74="",0,M74))+ABS(IF(N74="",0,N74))+ABS(IF(O74="",0,O74))+ABS(IF(P74="",0,P74))+ABS(IF(Q74="",0,Q74))+ABS(IF(R74="",0,R74))+ABS(IF(S74="",0,S74))+ABS(IF(T74="",0,T74)))/+COUNT(K74:T74))</f>
      </c>
      <c r="K74" s="133">
        <f>IF(X27="c",Tech!AH27,"")</f>
      </c>
      <c r="L74" s="133">
        <f>IF(X27="c",Tech!AI27,"")</f>
      </c>
      <c r="M74" s="133">
        <f>IF(AND(X27="c",Tech!AJ27&lt;&gt;""),Tech!AJ27,"")</f>
      </c>
      <c r="N74" s="133">
        <f>IF(AND(X27="c",Tech!AK27&lt;&gt;""),Tech!AK27,"")</f>
      </c>
      <c r="O74" s="133">
        <f>IF(AND(X27="c",Tech!AL27&lt;&gt;""),Tech!AL27,"")</f>
      </c>
      <c r="P74" s="133">
        <f>IF(AND(X27="c",Tech!AM27&lt;&gt;""),Tech!AM27,"")</f>
      </c>
      <c r="Q74" s="133">
        <f>IF(AND(X27="c",Tech!AN27&lt;&gt;""),Tech!AN27,"")</f>
      </c>
      <c r="R74" s="133">
        <f>IF(AND(X27="c",Tech!AO27&lt;&gt;""),Tech!AO27,"")</f>
      </c>
      <c r="S74" s="133">
        <f>IF(AND(X27="c",Tech!AP27&lt;&gt;""),Tech!AP27,"")</f>
      </c>
      <c r="T74" s="133">
        <f>IF(AND(X27="c",Tech!AQ27&lt;&gt;""),Tech!AQ27,"")</f>
      </c>
      <c r="U74" s="19"/>
    </row>
    <row r="75" spans="8:21" ht="12.75">
      <c r="H75" s="144"/>
      <c r="I75" s="149" t="s">
        <v>33</v>
      </c>
      <c r="J75" s="133">
        <f>+IF(K75="","",(+ABS(IF(K75="",0,K75))+ABS(IF(L75="",0,L75))+ABS(IF(M75="",0,M75))+ABS(IF(N75="",0,N75))+ABS(IF(O75="",0,O75))+ABS(IF(P75="",0,P75))+ABS(IF(Q75="",0,Q75))+ABS(IF(R75="",0,R75))+ABS(IF(S75="",0,S75))+ABS(IF(T75="",0,T75)))/+COUNT(K75:T75))</f>
      </c>
      <c r="K75" s="133">
        <f>IF(X27="c",Tech!AT27,"")</f>
      </c>
      <c r="L75" s="133">
        <f>IF(X27="c",Tech!AU27,"")</f>
      </c>
      <c r="M75" s="133">
        <f>IF(AND(X27="c",Tech!AV27&lt;&gt;""),Tech!AV27,"")</f>
      </c>
      <c r="N75" s="133">
        <f>IF(AND(X27="c",Tech!AW27&lt;&gt;""),Tech!AW27,"")</f>
      </c>
      <c r="O75" s="133">
        <f>IF(AND(X27="c",Tech!AX27&lt;&gt;""),Tech!AX27,"")</f>
      </c>
      <c r="P75" s="133">
        <f>IF(AND(X27="c",Tech!AY27&lt;&gt;""),Tech!AY27,"")</f>
      </c>
      <c r="Q75" s="133">
        <f>IF(AND(X27="c",Tech!AZ27&lt;&gt;""),Tech!AZ27,"")</f>
      </c>
      <c r="R75" s="133">
        <f>IF(AND(X27="c",Tech!BA27&lt;&gt;""),Tech!BA27,"")</f>
      </c>
      <c r="S75" s="133">
        <f>IF(AND(X27="c",Tech!BB27&lt;&gt;""),Tech!BB27,"")</f>
      </c>
      <c r="T75" s="133">
        <f>IF(AND(X27="c",Tech!BC27&lt;&gt;""),Tech!BC27,"")</f>
      </c>
      <c r="U75" s="19"/>
    </row>
    <row r="76" spans="8:21" ht="12.75">
      <c r="H76" s="144">
        <f>IF(V28="","",V28)</f>
      </c>
      <c r="I76" s="145" t="s">
        <v>32</v>
      </c>
      <c r="J76" s="146" t="s">
        <v>36</v>
      </c>
      <c r="K76" s="133">
        <f>IF($X$28="","",$Y$28*K$15)</f>
      </c>
      <c r="L76" s="133">
        <f aca="true" t="shared" si="20" ref="L76:T76">IF(OR(L$15="",$X$28=""),"",$Y$28*L$15)</f>
      </c>
      <c r="M76" s="133">
        <f t="shared" si="20"/>
      </c>
      <c r="N76" s="133">
        <f t="shared" si="20"/>
      </c>
      <c r="O76" s="133">
        <f t="shared" si="20"/>
      </c>
      <c r="P76" s="133">
        <f t="shared" si="20"/>
      </c>
      <c r="Q76" s="133">
        <f t="shared" si="20"/>
      </c>
      <c r="R76" s="133">
        <f t="shared" si="20"/>
      </c>
      <c r="S76" s="133">
        <f t="shared" si="20"/>
      </c>
      <c r="T76" s="133">
        <f t="shared" si="20"/>
      </c>
      <c r="U76" s="19"/>
    </row>
    <row r="77" spans="8:21" ht="12.75">
      <c r="H77" s="144"/>
      <c r="I77" s="148" t="s">
        <v>29</v>
      </c>
      <c r="J77" s="133">
        <f>+IF(K77="","",(+ABS(IF(K77="",0,K77))+ABS(IF(L77="",0,L77))+ABS(IF(M77="",0,M77))+ABS(IF(N77="",0,N77))+ABS(IF(O77="",0,O77))+ABS(IF(P77="",0,P77))+ABS(IF(Q77="",0,Q77))+ABS(IF(R77="",0,R77))+ABS(IF(S77="",0,S77))+ABS(IF(T77="",0,T77)))/+COUNT(K77:T77))</f>
      </c>
      <c r="K77" s="133">
        <f>IF(X28="b",Tech!J28,"")</f>
      </c>
      <c r="L77" s="133">
        <f>IF(X28="b",Tech!K28,"")</f>
      </c>
      <c r="M77" s="133">
        <f>IF(AND(X28="b",Tech!L28&lt;&gt;""),Tech!L28,"")</f>
      </c>
      <c r="N77" s="133">
        <f>IF(AND(X28="b",Tech!M28&lt;&gt;""),Tech!M28,"")</f>
      </c>
      <c r="O77" s="133">
        <f>IF(AND(X28="b",Tech!N28&lt;&gt;""),Tech!N28,"")</f>
      </c>
      <c r="P77" s="133">
        <f>IF(AND(X28="b",Tech!O28&lt;&gt;""),Tech!O28,"")</f>
      </c>
      <c r="Q77" s="133">
        <f>IF(AND(X28="b",Tech!P28&lt;&gt;""),Tech!P28,"")</f>
      </c>
      <c r="R77" s="133">
        <f>IF(AND(X28="b",Tech!Q28&lt;&gt;""),Tech!Q28,"")</f>
      </c>
      <c r="S77" s="133">
        <f>IF(AND(X28="b",Tech!R28&lt;&gt;""),Tech!R28,"")</f>
      </c>
      <c r="T77" s="133">
        <f>IF(AND(X28="b",Tech!S28&lt;&gt;""),Tech!S28,"")</f>
      </c>
      <c r="U77" s="19"/>
    </row>
    <row r="78" spans="8:21" ht="12.75">
      <c r="H78" s="144"/>
      <c r="I78" s="149" t="s">
        <v>34</v>
      </c>
      <c r="J78" s="133">
        <f>+IF(K78="","",(+ABS(IF(K78="",0,K78))+ABS(IF(L78="",0,L78))+ABS(IF(M78="",0,M78))+ABS(IF(N78="",0,N78))+ABS(IF(O78="",0,O78))+ABS(IF(P78="",0,P78))+ABS(IF(Q78="",0,Q78))+ABS(IF(R78="",0,R78))+ABS(IF(S78="",0,S78))+ABS(IF(T78="",0,T78)))/+COUNT(K78:T78))</f>
      </c>
      <c r="K78" s="133">
        <f>IF(X28="c",Tech!V28,"")</f>
      </c>
      <c r="L78" s="133">
        <f>IF(X28="c",Tech!W28,"")</f>
      </c>
      <c r="M78" s="133">
        <f>IF(AND(X28="c",Tech!X28&lt;&gt;""),Tech!X28,"")</f>
      </c>
      <c r="N78" s="133">
        <f>IF(AND(X28="c",Tech!Y28&lt;&gt;""),Tech!Y28,"")</f>
      </c>
      <c r="O78" s="133">
        <f>IF(AND(X28="c",Tech!Z28&lt;&gt;""),Tech!Z28,"")</f>
      </c>
      <c r="P78" s="133">
        <f>IF(AND(X28="c",Tech!AA28&lt;&gt;""),Tech!AA28,"")</f>
      </c>
      <c r="Q78" s="133">
        <f>IF(AND(X28="c",Tech!AB28&lt;&gt;""),Tech!AB28,"")</f>
      </c>
      <c r="R78" s="133">
        <f>IF(AND(X28="c",Tech!AC28&lt;&gt;""),Tech!AC28,"")</f>
      </c>
      <c r="S78" s="133">
        <f>IF(AND(X28="c",Tech!AD28&lt;&gt;""),Tech!AD28,"")</f>
      </c>
      <c r="T78" s="133">
        <f>IF(AND(X28="c",Tech!AE28&lt;&gt;""),Tech!AE28,"")</f>
      </c>
      <c r="U78" s="19"/>
    </row>
    <row r="79" spans="8:21" ht="12.75">
      <c r="H79" s="144"/>
      <c r="I79" s="149" t="s">
        <v>35</v>
      </c>
      <c r="J79" s="133">
        <f>+IF(K79="","",(+ABS(IF(K79="",0,K79))+ABS(IF(L79="",0,L79))+ABS(IF(M79="",0,M79))+ABS(IF(N79="",0,N79))+ABS(IF(O79="",0,O79))+ABS(IF(P79="",0,P79))+ABS(IF(Q79="",0,Q79))+ABS(IF(R79="",0,R79))+ABS(IF(S79="",0,S79))+ABS(IF(T79="",0,T79)))/+COUNT(K79:T79))</f>
      </c>
      <c r="K79" s="133">
        <f>IF(X28="c",Tech!AH28,"")</f>
      </c>
      <c r="L79" s="133">
        <f>IF(X28="c",Tech!AI28,"")</f>
      </c>
      <c r="M79" s="133">
        <f>IF(AND(X28="c",Tech!AJ28&lt;&gt;""),Tech!AJ28,"")</f>
      </c>
      <c r="N79" s="133">
        <f>IF(AND(X28="c",Tech!AK28&lt;&gt;""),Tech!AK28,"")</f>
      </c>
      <c r="O79" s="133">
        <f>IF(AND(X28="c",Tech!AL28&lt;&gt;""),Tech!AL28,"")</f>
      </c>
      <c r="P79" s="133">
        <f>IF(AND(X28="c",Tech!AM28&lt;&gt;""),Tech!AM28,"")</f>
      </c>
      <c r="Q79" s="133">
        <f>IF(AND(X28="c",Tech!AN28&lt;&gt;""),Tech!AN28,"")</f>
      </c>
      <c r="R79" s="133">
        <f>IF(AND(X28="c",Tech!AO28&lt;&gt;""),Tech!AO28,"")</f>
      </c>
      <c r="S79" s="133">
        <f>IF(AND(X28="c",Tech!AP28&lt;&gt;""),Tech!AP28,"")</f>
      </c>
      <c r="T79" s="133">
        <f>IF(AND(X28="c",Tech!AQ28&lt;&gt;""),Tech!AQ28,"")</f>
      </c>
      <c r="U79" s="19"/>
    </row>
    <row r="80" spans="8:21" ht="12.75">
      <c r="H80" s="144"/>
      <c r="I80" s="149" t="s">
        <v>33</v>
      </c>
      <c r="J80" s="133">
        <f>+IF(K80="","",(+ABS(IF(K80="",0,K80))+ABS(IF(L80="",0,L80))+ABS(IF(M80="",0,M80))+ABS(IF(N80="",0,N80))+ABS(IF(O80="",0,O80))+ABS(IF(P80="",0,P80))+ABS(IF(Q80="",0,Q80))+ABS(IF(R80="",0,R80))+ABS(IF(S80="",0,S80))+ABS(IF(T80="",0,T80)))/+COUNT(K80:T80))</f>
      </c>
      <c r="K80" s="133">
        <f>IF(X28="c",Tech!AT28,"")</f>
      </c>
      <c r="L80" s="133">
        <f>IF(X28="c",Tech!AU28,"")</f>
      </c>
      <c r="M80" s="133">
        <f>IF(AND(X28="c",Tech!AV28&lt;&gt;""),Tech!AV28,"")</f>
      </c>
      <c r="N80" s="133">
        <f>IF(AND(X28="c",Tech!AW28&lt;&gt;""),Tech!AW28,"")</f>
      </c>
      <c r="O80" s="133">
        <f>IF(AND(X28="c",Tech!AX28&lt;&gt;""),Tech!AX28,"")</f>
      </c>
      <c r="P80" s="133">
        <f>IF(AND(X28="c",Tech!AY28&lt;&gt;""),Tech!AY28,"")</f>
      </c>
      <c r="Q80" s="133">
        <f>IF(AND(X28="c",Tech!AZ28&lt;&gt;""),Tech!AZ28,"")</f>
      </c>
      <c r="R80" s="133">
        <f>IF(AND(X28="c",Tech!BA28&lt;&gt;""),Tech!BA28,"")</f>
      </c>
      <c r="S80" s="133">
        <f>IF(AND(X28="c",Tech!BB28&lt;&gt;""),Tech!BB28,"")</f>
      </c>
      <c r="T80" s="133">
        <f>IF(AND(X28="c",Tech!BC28&lt;&gt;""),Tech!BC28,"")</f>
      </c>
      <c r="U80" s="19"/>
    </row>
    <row r="81" spans="8:21" ht="12.75">
      <c r="H81" s="144">
        <f>IF(V29="","",V29)</f>
      </c>
      <c r="I81" s="145" t="s">
        <v>32</v>
      </c>
      <c r="J81" s="146" t="s">
        <v>36</v>
      </c>
      <c r="K81" s="133">
        <f>IF($X$29="","",$Y$29*K$15)</f>
      </c>
      <c r="L81" s="133">
        <f aca="true" t="shared" si="21" ref="L81:T81">IF(OR(L$15="",$X$29=""),"",$Y$29*L$15)</f>
      </c>
      <c r="M81" s="133">
        <f t="shared" si="21"/>
      </c>
      <c r="N81" s="133">
        <f t="shared" si="21"/>
      </c>
      <c r="O81" s="133">
        <f t="shared" si="21"/>
      </c>
      <c r="P81" s="133">
        <f t="shared" si="21"/>
      </c>
      <c r="Q81" s="133">
        <f t="shared" si="21"/>
      </c>
      <c r="R81" s="133">
        <f t="shared" si="21"/>
      </c>
      <c r="S81" s="133">
        <f t="shared" si="21"/>
      </c>
      <c r="T81" s="133">
        <f t="shared" si="21"/>
      </c>
      <c r="U81" s="19"/>
    </row>
    <row r="82" spans="8:21" ht="12.75">
      <c r="H82" s="144"/>
      <c r="I82" s="148" t="s">
        <v>29</v>
      </c>
      <c r="J82" s="133">
        <f>+IF(K82="","",(+ABS(IF(K82="",0,K82))+ABS(IF(L82="",0,L82))+ABS(IF(M82="",0,M82))+ABS(IF(N82="",0,N82))+ABS(IF(O82="",0,O82))+ABS(IF(P82="",0,P82))+ABS(IF(Q82="",0,Q82))+ABS(IF(R82="",0,R82))+ABS(IF(S82="",0,S82))+ABS(IF(T82="",0,T82)))/+COUNT(K82:T82))</f>
      </c>
      <c r="K82" s="133">
        <f>IF(X29="b",Tech!J29,"")</f>
      </c>
      <c r="L82" s="133">
        <f>IF(X29="b",Tech!K29,"")</f>
      </c>
      <c r="M82" s="133">
        <f>IF(AND(X29="b",Tech!L29&lt;&gt;""),Tech!L29,"")</f>
      </c>
      <c r="N82" s="133">
        <f>IF(AND(X29="b",Tech!M29&lt;&gt;""),Tech!M29,"")</f>
      </c>
      <c r="O82" s="133">
        <f>IF(AND(X29="b",Tech!N29&lt;&gt;""),Tech!N29,"")</f>
      </c>
      <c r="P82" s="133">
        <f>IF(AND(X29="b",Tech!O29&lt;&gt;""),Tech!O29,"")</f>
      </c>
      <c r="Q82" s="133">
        <f>IF(AND(X29="b",Tech!P29&lt;&gt;""),Tech!P29,"")</f>
      </c>
      <c r="R82" s="133">
        <f>IF(AND(X29="b",Tech!Q29&lt;&gt;""),Tech!Q29,"")</f>
      </c>
      <c r="S82" s="133">
        <f>IF(AND(X29="b",Tech!R29&lt;&gt;""),Tech!R29,"")</f>
      </c>
      <c r="T82" s="133">
        <f>IF(AND(X29="b",Tech!S29&lt;&gt;""),Tech!S29,"")</f>
      </c>
      <c r="U82" s="19"/>
    </row>
    <row r="83" spans="8:21" ht="12.75">
      <c r="H83" s="144"/>
      <c r="I83" s="149" t="s">
        <v>34</v>
      </c>
      <c r="J83" s="133">
        <f>+IF(K83="","",(+ABS(IF(K83="",0,K83))+ABS(IF(L83="",0,L83))+ABS(IF(M83="",0,M83))+ABS(IF(N83="",0,N83))+ABS(IF(O83="",0,O83))+ABS(IF(P83="",0,P83))+ABS(IF(Q83="",0,Q83))+ABS(IF(R83="",0,R83))+ABS(IF(S83="",0,S83))+ABS(IF(T83="",0,T83)))/+COUNT(K83:T83))</f>
      </c>
      <c r="K83" s="133">
        <f>IF(X29="c",Tech!V29,"")</f>
      </c>
      <c r="L83" s="133">
        <f>IF(X29="c",Tech!W29,"")</f>
      </c>
      <c r="M83" s="133">
        <f>IF(AND(X29="c",Tech!X29&lt;&gt;""),Tech!X29,"")</f>
      </c>
      <c r="N83" s="133">
        <f>IF(AND(X29="c",Tech!Y29&lt;&gt;""),Tech!Y29,"")</f>
      </c>
      <c r="O83" s="133">
        <f>IF(AND(X29="c",Tech!Z29&lt;&gt;""),Tech!Z29,"")</f>
      </c>
      <c r="P83" s="133">
        <f>IF(AND(X29="c",Tech!AA29&lt;&gt;""),Tech!AA29,"")</f>
      </c>
      <c r="Q83" s="133">
        <f>IF(AND(X29="c",Tech!AB29&lt;&gt;""),Tech!AB29,"")</f>
      </c>
      <c r="R83" s="133">
        <f>IF(AND(X29="c",Tech!AC29&lt;&gt;""),Tech!AC29,"")</f>
      </c>
      <c r="S83" s="133">
        <f>IF(AND(X29="c",Tech!AD29&lt;&gt;""),Tech!AD29,"")</f>
      </c>
      <c r="T83" s="133">
        <f>IF(AND(X29="c",Tech!AE29&lt;&gt;""),Tech!AE29,"")</f>
      </c>
      <c r="U83" s="19"/>
    </row>
    <row r="84" spans="8:21" ht="12.75">
      <c r="H84" s="144"/>
      <c r="I84" s="149" t="s">
        <v>35</v>
      </c>
      <c r="J84" s="133">
        <f>+IF(K84="","",(+ABS(IF(K84="",0,K84))+ABS(IF(L84="",0,L84))+ABS(IF(M84="",0,M84))+ABS(IF(N84="",0,N84))+ABS(IF(O84="",0,O84))+ABS(IF(P84="",0,P84))+ABS(IF(Q84="",0,Q84))+ABS(IF(R84="",0,R84))+ABS(IF(S84="",0,S84))+ABS(IF(T84="",0,T84)))/+COUNT(K84:T84))</f>
      </c>
      <c r="K84" s="133">
        <f>IF(X29="c",Tech!AH29,"")</f>
      </c>
      <c r="L84" s="133">
        <f>IF(X29="c",Tech!AI29,"")</f>
      </c>
      <c r="M84" s="133">
        <f>IF(AND(X29="c",Tech!AJ29&lt;&gt;""),Tech!AJ29,"")</f>
      </c>
      <c r="N84" s="133">
        <f>IF(AND(X29="c",Tech!AK29&lt;&gt;""),Tech!AK29,"")</f>
      </c>
      <c r="O84" s="133">
        <f>IF(AND(X29="c",Tech!AL29&lt;&gt;""),Tech!AL29,"")</f>
      </c>
      <c r="P84" s="133">
        <f>IF(AND(X29="c",Tech!AM29&lt;&gt;""),Tech!AM29,"")</f>
      </c>
      <c r="Q84" s="133">
        <f>IF(AND(X29="c",Tech!AN29&lt;&gt;""),Tech!AN29,"")</f>
      </c>
      <c r="R84" s="133">
        <f>IF(AND(X29="c",Tech!AO29&lt;&gt;""),Tech!AO29,"")</f>
      </c>
      <c r="S84" s="133">
        <f>IF(AND(X29="c",Tech!AP29&lt;&gt;""),Tech!AP29,"")</f>
      </c>
      <c r="T84" s="133">
        <f>IF(AND(X29="c",Tech!AQ29&lt;&gt;""),Tech!AQ29,"")</f>
      </c>
      <c r="U84" s="19"/>
    </row>
    <row r="85" spans="8:21" ht="12.75">
      <c r="H85" s="144"/>
      <c r="I85" s="149" t="s">
        <v>33</v>
      </c>
      <c r="J85" s="133">
        <f>+IF(K85="","",(+ABS(IF(K85="",0,K85))+ABS(IF(L85="",0,L85))+ABS(IF(M85="",0,M85))+ABS(IF(N85="",0,N85))+ABS(IF(O85="",0,O85))+ABS(IF(P85="",0,P85))+ABS(IF(Q85="",0,Q85))+ABS(IF(R85="",0,R85))+ABS(IF(S85="",0,S85))+ABS(IF(T85="",0,T85)))/+COUNT(K85:T85))</f>
      </c>
      <c r="K85" s="133">
        <f>IF(X29="c",Tech!AT29,"")</f>
      </c>
      <c r="L85" s="133">
        <f>IF(X29="c",Tech!AU29,"")</f>
      </c>
      <c r="M85" s="133">
        <f>IF(AND(X29="c",Tech!AV29&lt;&gt;""),Tech!AV29,"")</f>
      </c>
      <c r="N85" s="133">
        <f>IF(AND(X29="c",Tech!AW29&lt;&gt;""),Tech!AW29,"")</f>
      </c>
      <c r="O85" s="133">
        <f>IF(AND(X29="c",Tech!AX29&lt;&gt;""),Tech!AX29,"")</f>
      </c>
      <c r="P85" s="133">
        <f>IF(AND(X29="c",Tech!AY29&lt;&gt;""),Tech!AY29,"")</f>
      </c>
      <c r="Q85" s="133">
        <f>IF(AND(X29="c",Tech!AZ29&lt;&gt;""),Tech!AZ29,"")</f>
      </c>
      <c r="R85" s="133">
        <f>IF(AND(X29="c",Tech!BA29&lt;&gt;""),Tech!BA29,"")</f>
      </c>
      <c r="S85" s="133">
        <f>IF(AND(X29="c",Tech!BB29&lt;&gt;""),Tech!BB29,"")</f>
      </c>
      <c r="T85" s="133">
        <f>IF(AND(X29="c",Tech!BC29&lt;&gt;""),Tech!BC29,"")</f>
      </c>
      <c r="U85" s="19"/>
    </row>
    <row r="86" spans="8:21" ht="12.75">
      <c r="H86" s="144">
        <f>IF(V30="","",V30)</f>
      </c>
      <c r="I86" s="145" t="s">
        <v>32</v>
      </c>
      <c r="J86" s="146" t="s">
        <v>36</v>
      </c>
      <c r="K86" s="133">
        <f>IF($X$30="","",$Y$30*K$15)</f>
      </c>
      <c r="L86" s="133">
        <f aca="true" t="shared" si="22" ref="L86:T86">IF(OR(L$15="",$X$30=""),"",$Y$30*L$15)</f>
      </c>
      <c r="M86" s="133">
        <f t="shared" si="22"/>
      </c>
      <c r="N86" s="133">
        <f t="shared" si="22"/>
      </c>
      <c r="O86" s="133">
        <f t="shared" si="22"/>
      </c>
      <c r="P86" s="133">
        <f t="shared" si="22"/>
      </c>
      <c r="Q86" s="133">
        <f t="shared" si="22"/>
      </c>
      <c r="R86" s="133">
        <f t="shared" si="22"/>
      </c>
      <c r="S86" s="133">
        <f t="shared" si="22"/>
      </c>
      <c r="T86" s="133">
        <f t="shared" si="22"/>
      </c>
      <c r="U86" s="19"/>
    </row>
    <row r="87" spans="8:21" ht="12.75">
      <c r="H87" s="144"/>
      <c r="I87" s="148" t="s">
        <v>29</v>
      </c>
      <c r="J87" s="133">
        <f>+IF(K87="","",(+ABS(IF(K87="",0,K87))+ABS(IF(L87="",0,L87))+ABS(IF(M87="",0,M87))+ABS(IF(N87="",0,N87))+ABS(IF(O87="",0,O87))+ABS(IF(P87="",0,P87))+ABS(IF(Q87="",0,Q87))+ABS(IF(R87="",0,R87))+ABS(IF(S87="",0,S87))+ABS(IF(T87="",0,T87)))/+COUNT(K87:T87))</f>
      </c>
      <c r="K87" s="133">
        <f>IF(X30="b",Tech!J30,"")</f>
      </c>
      <c r="L87" s="133">
        <f>IF(X30="b",Tech!K30,"")</f>
      </c>
      <c r="M87" s="133">
        <f>IF(AND(X30="b",Tech!L30&lt;&gt;""),Tech!L30,"")</f>
      </c>
      <c r="N87" s="133">
        <f>IF(AND(X30="b",Tech!M30&lt;&gt;""),Tech!M30,"")</f>
      </c>
      <c r="O87" s="133">
        <f>IF(AND(X30="b",Tech!N30&lt;&gt;""),Tech!N30,"")</f>
      </c>
      <c r="P87" s="133">
        <f>IF(AND(X30="b",Tech!O30&lt;&gt;""),Tech!O30,"")</f>
      </c>
      <c r="Q87" s="133">
        <f>IF(AND(X30="b",Tech!P30&lt;&gt;""),Tech!P30,"")</f>
      </c>
      <c r="R87" s="133">
        <f>IF(AND(X30="b",Tech!Q30&lt;&gt;""),Tech!Q30,"")</f>
      </c>
      <c r="S87" s="133">
        <f>IF(AND(X30="b",Tech!R30&lt;&gt;""),Tech!R30,"")</f>
      </c>
      <c r="T87" s="133">
        <f>IF(AND(X30="b",Tech!S30&lt;&gt;""),Tech!S30,"")</f>
      </c>
      <c r="U87" s="19"/>
    </row>
    <row r="88" spans="8:21" ht="12.75">
      <c r="H88" s="144"/>
      <c r="I88" s="149" t="s">
        <v>34</v>
      </c>
      <c r="J88" s="133">
        <f>+IF(K88="","",(+ABS(IF(K88="",0,K88))+ABS(IF(L88="",0,L88))+ABS(IF(M88="",0,M88))+ABS(IF(N88="",0,N88))+ABS(IF(O88="",0,O88))+ABS(IF(P88="",0,P88))+ABS(IF(Q88="",0,Q88))+ABS(IF(R88="",0,R88))+ABS(IF(S88="",0,S88))+ABS(IF(T88="",0,T88)))/+COUNT(K88:T88))</f>
      </c>
      <c r="K88" s="133">
        <f>IF(X30="c",Tech!V30,"")</f>
      </c>
      <c r="L88" s="133">
        <f>IF(X30="c",Tech!W30,"")</f>
      </c>
      <c r="M88" s="133">
        <f>IF(AND(X30="c",Tech!X30&lt;&gt;""),Tech!X30,"")</f>
      </c>
      <c r="N88" s="133">
        <f>IF(AND(X30="c",Tech!Y30&lt;&gt;""),Tech!Y30,"")</f>
      </c>
      <c r="O88" s="133">
        <f>IF(AND(X30="c",Tech!Z30&lt;&gt;""),Tech!Z30,"")</f>
      </c>
      <c r="P88" s="133">
        <f>IF(AND(X30="c",Tech!AA30&lt;&gt;""),Tech!AA30,"")</f>
      </c>
      <c r="Q88" s="133">
        <f>IF(AND(X30="c",Tech!AB30&lt;&gt;""),Tech!AB30,"")</f>
      </c>
      <c r="R88" s="133">
        <f>IF(AND(X30="c",Tech!AC30&lt;&gt;""),Tech!AC30,"")</f>
      </c>
      <c r="S88" s="133">
        <f>IF(AND(X30="c",Tech!AD30&lt;&gt;""),Tech!AD30,"")</f>
      </c>
      <c r="T88" s="133">
        <f>IF(AND(X30="c",Tech!AE30&lt;&gt;""),Tech!AE30,"")</f>
      </c>
      <c r="U88" s="19"/>
    </row>
    <row r="89" spans="8:21" ht="12.75">
      <c r="H89" s="144"/>
      <c r="I89" s="149" t="s">
        <v>35</v>
      </c>
      <c r="J89" s="133">
        <f>+IF(K89="","",(+ABS(IF(K89="",0,K89))+ABS(IF(L89="",0,L89))+ABS(IF(M89="",0,M89))+ABS(IF(N89="",0,N89))+ABS(IF(O89="",0,O89))+ABS(IF(P89="",0,P89))+ABS(IF(Q89="",0,Q89))+ABS(IF(R89="",0,R89))+ABS(IF(S89="",0,S89))+ABS(IF(T89="",0,T89)))/+COUNT(K89:T89))</f>
      </c>
      <c r="K89" s="133">
        <f>IF(X30="c",Tech!AH30,"")</f>
      </c>
      <c r="L89" s="133">
        <f>IF(X30="c",Tech!AI30,"")</f>
      </c>
      <c r="M89" s="133">
        <f>IF(AND(X30="c",Tech!AJ30&lt;&gt;""),Tech!AJ30,"")</f>
      </c>
      <c r="N89" s="133">
        <f>IF(AND(X30="c",Tech!AK30&lt;&gt;""),Tech!AK30,"")</f>
      </c>
      <c r="O89" s="133">
        <f>IF(AND(X30="c",Tech!AL30&lt;&gt;""),Tech!AL30,"")</f>
      </c>
      <c r="P89" s="133">
        <f>IF(AND(X30="c",Tech!AM30&lt;&gt;""),Tech!AM30,"")</f>
      </c>
      <c r="Q89" s="133">
        <f>IF(AND(X30="c",Tech!AN30&lt;&gt;""),Tech!AN30,"")</f>
      </c>
      <c r="R89" s="133">
        <f>IF(AND(X30="c",Tech!AO30&lt;&gt;""),Tech!AO30,"")</f>
      </c>
      <c r="S89" s="133">
        <f>IF(AND(X30="c",Tech!AP30&lt;&gt;""),Tech!AP30,"")</f>
      </c>
      <c r="T89" s="133">
        <f>IF(AND(X30="c",Tech!AQ30&lt;&gt;""),Tech!AQ30,"")</f>
      </c>
      <c r="U89" s="19"/>
    </row>
    <row r="90" spans="8:21" ht="12.75">
      <c r="H90" s="144"/>
      <c r="I90" s="149" t="s">
        <v>33</v>
      </c>
      <c r="J90" s="133">
        <f>+IF(K90="","",(+ABS(IF(K90="",0,K90))+ABS(IF(L90="",0,L90))+ABS(IF(M90="",0,M90))+ABS(IF(N90="",0,N90))+ABS(IF(O90="",0,O90))+ABS(IF(P90="",0,P90))+ABS(IF(Q90="",0,Q90))+ABS(IF(R90="",0,R90))+ABS(IF(S90="",0,S90))+ABS(IF(T90="",0,T90)))/+COUNT(K90:T90))</f>
      </c>
      <c r="K90" s="133">
        <f>IF(X30="c",Tech!AT30,"")</f>
      </c>
      <c r="L90" s="133">
        <f>IF(X30="c",Tech!AU30,"")</f>
      </c>
      <c r="M90" s="133">
        <f>IF(AND(X30="c",Tech!AV30&lt;&gt;""),Tech!AV30,"")</f>
      </c>
      <c r="N90" s="133">
        <f>IF(AND(X30="c",Tech!AW30&lt;&gt;""),Tech!AW30,"")</f>
      </c>
      <c r="O90" s="133">
        <f>IF(AND(X30="c",Tech!AX30&lt;&gt;""),Tech!AX30,"")</f>
      </c>
      <c r="P90" s="133">
        <f>IF(AND(X30="c",Tech!AY30&lt;&gt;""),Tech!AY30,"")</f>
      </c>
      <c r="Q90" s="133">
        <f>IF(AND(X30="c",Tech!AZ30&lt;&gt;""),Tech!AZ30,"")</f>
      </c>
      <c r="R90" s="133">
        <f>IF(AND(X30="c",Tech!BA30&lt;&gt;""),Tech!BA30,"")</f>
      </c>
      <c r="S90" s="133">
        <f>IF(AND(X30="c",Tech!BB30&lt;&gt;""),Tech!BB30,"")</f>
      </c>
      <c r="T90" s="133">
        <f>IF(AND(X30="c",Tech!BC30&lt;&gt;""),Tech!BC30,"")</f>
      </c>
      <c r="U90" s="19"/>
    </row>
    <row r="91" spans="8:21" ht="12.75">
      <c r="H91" s="144">
        <f>IF(V31="","",V31)</f>
      </c>
      <c r="I91" s="145" t="s">
        <v>32</v>
      </c>
      <c r="J91" s="146" t="s">
        <v>36</v>
      </c>
      <c r="K91" s="133">
        <f>IF($X$31="","",$Y$31*K$15)</f>
      </c>
      <c r="L91" s="133">
        <f aca="true" t="shared" si="23" ref="L91:T91">IF(OR(L$15="",$X$31=""),"",$Y$31*L$15)</f>
      </c>
      <c r="M91" s="133">
        <f t="shared" si="23"/>
      </c>
      <c r="N91" s="133">
        <f t="shared" si="23"/>
      </c>
      <c r="O91" s="133">
        <f t="shared" si="23"/>
      </c>
      <c r="P91" s="133">
        <f t="shared" si="23"/>
      </c>
      <c r="Q91" s="133">
        <f t="shared" si="23"/>
      </c>
      <c r="R91" s="133">
        <f t="shared" si="23"/>
      </c>
      <c r="S91" s="133">
        <f t="shared" si="23"/>
      </c>
      <c r="T91" s="133">
        <f t="shared" si="23"/>
      </c>
      <c r="U91" s="19"/>
    </row>
    <row r="92" spans="8:21" ht="12.75">
      <c r="H92" s="144"/>
      <c r="I92" s="148" t="s">
        <v>29</v>
      </c>
      <c r="J92" s="133">
        <f>+IF(K92="","",(+ABS(IF(K92="",0,K92))+ABS(IF(L92="",0,L92))+ABS(IF(M92="",0,M92))+ABS(IF(N92="",0,N92))+ABS(IF(O92="",0,O92))+ABS(IF(P92="",0,P92))+ABS(IF(Q92="",0,Q92))+ABS(IF(R92="",0,R92))+ABS(IF(S92="",0,S92))+ABS(IF(T92="",0,T92)))/+COUNT(K92:T92))</f>
      </c>
      <c r="K92" s="133">
        <f>IF(X31="b",Tech!J31,"")</f>
      </c>
      <c r="L92" s="133">
        <f>IF(X31="b",Tech!K31,"")</f>
      </c>
      <c r="M92" s="133">
        <f>IF(AND(X31="b",Tech!L31&lt;&gt;""),Tech!L31,"")</f>
      </c>
      <c r="N92" s="133">
        <f>IF(AND(X31="b",Tech!M31&lt;&gt;""),Tech!M31,"")</f>
      </c>
      <c r="O92" s="133">
        <f>IF(AND(X31="b",Tech!N31&lt;&gt;""),Tech!N31,"")</f>
      </c>
      <c r="P92" s="133">
        <f>IF(AND(X31="b",Tech!O31&lt;&gt;""),Tech!O31,"")</f>
      </c>
      <c r="Q92" s="133">
        <f>IF(AND(X31="b",Tech!P31&lt;&gt;""),Tech!P31,"")</f>
      </c>
      <c r="R92" s="133">
        <f>IF(AND(X31="b",Tech!Q31&lt;&gt;""),Tech!Q31,"")</f>
      </c>
      <c r="S92" s="133">
        <f>IF(AND(X31="b",Tech!R31&lt;&gt;""),Tech!R31,"")</f>
      </c>
      <c r="T92" s="133">
        <f>IF(AND(X31="b",Tech!S31&lt;&gt;""),Tech!S31,"")</f>
      </c>
      <c r="U92" s="19"/>
    </row>
    <row r="93" spans="8:21" ht="12.75">
      <c r="H93" s="150"/>
      <c r="I93" s="149" t="s">
        <v>34</v>
      </c>
      <c r="J93" s="133">
        <f>+IF(K93="","",(+ABS(IF(K93="",0,K93))+ABS(IF(L93="",0,L93))+ABS(IF(M93="",0,M93))+ABS(IF(N93="",0,N93))+ABS(IF(O93="",0,O93))+ABS(IF(P93="",0,P93))+ABS(IF(Q93="",0,Q93))+ABS(IF(R93="",0,R93))+ABS(IF(S93="",0,S93))+ABS(IF(T93="",0,T93)))/+COUNT(K93:T93))</f>
      </c>
      <c r="K93" s="133">
        <f>IF(X31="c",Tech!V31,"")</f>
      </c>
      <c r="L93" s="133">
        <f>IF(X31="c",Tech!W31,"")</f>
      </c>
      <c r="M93" s="133">
        <f>IF(AND(X31="c",Tech!X31&lt;&gt;""),Tech!X31,"")</f>
      </c>
      <c r="N93" s="133">
        <f>IF(AND(X31="c",Tech!Y31&lt;&gt;""),Tech!Y31,"")</f>
      </c>
      <c r="O93" s="133">
        <f>IF(AND(X31="c",Tech!Z31&lt;&gt;""),Tech!Z31,"")</f>
      </c>
      <c r="P93" s="133">
        <f>IF(AND(X31="c",Tech!AA31&lt;&gt;""),Tech!AA31,"")</f>
      </c>
      <c r="Q93" s="133">
        <f>IF(AND(X31="c",Tech!AB31&lt;&gt;""),Tech!AB31,"")</f>
      </c>
      <c r="R93" s="133">
        <f>IF(AND(X31="c",Tech!AC31&lt;&gt;""),Tech!AC31,"")</f>
      </c>
      <c r="S93" s="133">
        <f>IF(AND(X31="c",Tech!AD31&lt;&gt;""),Tech!AD31,"")</f>
      </c>
      <c r="T93" s="133">
        <f>IF(AND(X31="c",Tech!AE31&lt;&gt;""),Tech!AE31,"")</f>
      </c>
      <c r="U93" s="19"/>
    </row>
    <row r="94" spans="8:21" ht="12.75">
      <c r="H94" s="150"/>
      <c r="I94" s="149" t="s">
        <v>35</v>
      </c>
      <c r="J94" s="133">
        <f>+IF(K94="","",(+ABS(IF(K94="",0,K94))+ABS(IF(L94="",0,L94))+ABS(IF(M94="",0,M94))+ABS(IF(N94="",0,N94))+ABS(IF(O94="",0,O94))+ABS(IF(P94="",0,P94))+ABS(IF(Q94="",0,Q94))+ABS(IF(R94="",0,R94))+ABS(IF(S94="",0,S94))+ABS(IF(T94="",0,T94)))/+COUNT(K94:T94))</f>
      </c>
      <c r="K94" s="133">
        <f>IF(X31="c",Tech!AH31,"")</f>
      </c>
      <c r="L94" s="133">
        <f>IF(X31="c",Tech!AI31,"")</f>
      </c>
      <c r="M94" s="133">
        <f>IF(AND(X31="c",Tech!AJ31&lt;&gt;""),Tech!AJ31,"")</f>
      </c>
      <c r="N94" s="133">
        <f>IF(AND(X31="c",Tech!AK31&lt;&gt;""),Tech!AK31,"")</f>
      </c>
      <c r="O94" s="133">
        <f>IF(AND(X31="c",Tech!AL31&lt;&gt;""),Tech!AL31,"")</f>
      </c>
      <c r="P94" s="133">
        <f>IF(AND(X31="c",Tech!AM31&lt;&gt;""),Tech!AM31,"")</f>
      </c>
      <c r="Q94" s="133">
        <f>IF(AND(X31="c",Tech!AN31&lt;&gt;""),Tech!AN31,"")</f>
      </c>
      <c r="R94" s="133">
        <f>IF(AND(X31="c",Tech!AO31&lt;&gt;""),Tech!AO31,"")</f>
      </c>
      <c r="S94" s="133">
        <f>IF(AND(X31="c",Tech!AP31&lt;&gt;""),Tech!AP31,"")</f>
      </c>
      <c r="T94" s="133">
        <f>IF(AND(X31="c",Tech!AQ31&lt;&gt;""),Tech!AQ31,"")</f>
      </c>
      <c r="U94" s="19"/>
    </row>
    <row r="95" spans="8:21" ht="12.75">
      <c r="H95" s="150"/>
      <c r="I95" s="149" t="s">
        <v>33</v>
      </c>
      <c r="J95" s="133">
        <f>+IF(K95="","",(+ABS(IF(K95="",0,K95))+ABS(IF(L95="",0,L95))+ABS(IF(M95="",0,M95))+ABS(IF(N95="",0,N95))+ABS(IF(O95="",0,O95))+ABS(IF(P95="",0,P95))+ABS(IF(Q95="",0,Q95))+ABS(IF(R95="",0,R95))+ABS(IF(S95="",0,S95))+ABS(IF(T95="",0,T95)))/+COUNT(K95:T95))</f>
      </c>
      <c r="K95" s="133">
        <f>IF(X31="c",Tech!AT31,"")</f>
      </c>
      <c r="L95" s="133">
        <f>IF(X31="c",Tech!AU31,"")</f>
      </c>
      <c r="M95" s="133">
        <f>IF(AND(X31="c",Tech!AV31&lt;&gt;""),Tech!AV31,"")</f>
      </c>
      <c r="N95" s="133">
        <f>IF(AND(X31="c",Tech!AW31&lt;&gt;""),Tech!AW31,"")</f>
      </c>
      <c r="O95" s="133">
        <f>IF(AND(X31="c",Tech!AX31&lt;&gt;""),Tech!AX31,"")</f>
      </c>
      <c r="P95" s="133">
        <f>IF(AND(X31="c",Tech!AY31&lt;&gt;""),Tech!AY31,"")</f>
      </c>
      <c r="Q95" s="133">
        <f>IF(AND(X31="c",Tech!AZ31&lt;&gt;""),Tech!AZ31,"")</f>
      </c>
      <c r="R95" s="133">
        <f>IF(AND(X31="c",Tech!BA31&lt;&gt;""),Tech!BA31,"")</f>
      </c>
      <c r="S95" s="133">
        <f>IF(AND(X31="c",Tech!BB31&lt;&gt;""),Tech!BB31,"")</f>
      </c>
      <c r="T95" s="133">
        <f>IF(AND(X31="c",Tech!BC31&lt;&gt;""),Tech!BC31,"")</f>
      </c>
      <c r="U95" s="19"/>
    </row>
    <row r="96" spans="8:21" ht="12.75">
      <c r="H96" s="144">
        <f>IF(V32="","",V32)</f>
      </c>
      <c r="I96" s="145" t="s">
        <v>32</v>
      </c>
      <c r="J96" s="146" t="s">
        <v>36</v>
      </c>
      <c r="K96" s="133">
        <f>IF($X$32="","",$Y$32*K$15)</f>
      </c>
      <c r="L96" s="133">
        <f aca="true" t="shared" si="24" ref="L96:T96">IF(OR(L$15="",$X$32=""),"",$Y$32*L$15)</f>
      </c>
      <c r="M96" s="133">
        <f t="shared" si="24"/>
      </c>
      <c r="N96" s="133">
        <f t="shared" si="24"/>
      </c>
      <c r="O96" s="133">
        <f t="shared" si="24"/>
      </c>
      <c r="P96" s="133">
        <f t="shared" si="24"/>
      </c>
      <c r="Q96" s="133">
        <f t="shared" si="24"/>
      </c>
      <c r="R96" s="133">
        <f t="shared" si="24"/>
      </c>
      <c r="S96" s="133">
        <f t="shared" si="24"/>
      </c>
      <c r="T96" s="133">
        <f t="shared" si="24"/>
      </c>
      <c r="U96" s="19"/>
    </row>
    <row r="97" spans="8:21" ht="12.75">
      <c r="H97" s="150"/>
      <c r="I97" s="148" t="s">
        <v>29</v>
      </c>
      <c r="J97" s="133">
        <f>+IF(K97="","",(+ABS(IF(K97="",0,K97))+ABS(IF(L97="",0,L97))+ABS(IF(M97="",0,M97))+ABS(IF(N97="",0,N97))+ABS(IF(O97="",0,O97))+ABS(IF(P97="",0,P97))+ABS(IF(Q97="",0,Q97))+ABS(IF(R97="",0,R97))+ABS(IF(S97="",0,S97))+ABS(IF(T97="",0,T97)))/+COUNT(K97:T97))</f>
      </c>
      <c r="K97" s="133">
        <f>IF(X32="b",Tech!J32,"")</f>
      </c>
      <c r="L97" s="133">
        <f>IF(X32="b",Tech!K32,"")</f>
      </c>
      <c r="M97" s="133">
        <f>IF(AND(X32="b",Tech!L32&lt;&gt;""),Tech!L32,"")</f>
      </c>
      <c r="N97" s="133">
        <f>IF(AND(X32="b",Tech!M32&lt;&gt;""),Tech!M32,"")</f>
      </c>
      <c r="O97" s="133">
        <f>IF(AND(X32="b",Tech!N32&lt;&gt;""),Tech!N32,"")</f>
      </c>
      <c r="P97" s="133">
        <f>IF(AND(X32="b",Tech!O32&lt;&gt;""),Tech!O32,"")</f>
      </c>
      <c r="Q97" s="133">
        <f>IF(AND(X32="b",Tech!P32&lt;&gt;""),Tech!P32,"")</f>
      </c>
      <c r="R97" s="133">
        <f>IF(AND(X32="b",Tech!Q32&lt;&gt;""),Tech!Q32,"")</f>
      </c>
      <c r="S97" s="133">
        <f>IF(AND(X32="b",Tech!R32&lt;&gt;""),Tech!R32,"")</f>
      </c>
      <c r="T97" s="133">
        <f>IF(AND(X32="b",Tech!S32&lt;&gt;""),Tech!S32,"")</f>
      </c>
      <c r="U97" s="19"/>
    </row>
    <row r="98" spans="8:21" ht="12.75">
      <c r="H98" s="150"/>
      <c r="I98" s="149" t="s">
        <v>34</v>
      </c>
      <c r="J98" s="133">
        <f>+IF(K98="","",(+ABS(IF(K98="",0,K98))+ABS(IF(L98="",0,L98))+ABS(IF(M98="",0,M98))+ABS(IF(N98="",0,N98))+ABS(IF(O98="",0,O98))+ABS(IF(P98="",0,P98))+ABS(IF(Q98="",0,Q98))+ABS(IF(R98="",0,R98))+ABS(IF(S98="",0,S98))+ABS(IF(T98="",0,T98)))/+COUNT(K98:T98))</f>
      </c>
      <c r="K98" s="133">
        <f>IF(X32="c",Tech!V32,"")</f>
      </c>
      <c r="L98" s="133">
        <f>IF(X32="c",Tech!W32,"")</f>
      </c>
      <c r="M98" s="133">
        <f>IF(AND(X32="c",Tech!X32&lt;&gt;""),Tech!X32,"")</f>
      </c>
      <c r="N98" s="133">
        <f>IF(AND(X32="c",Tech!Y32&lt;&gt;""),Tech!Y32,"")</f>
      </c>
      <c r="O98" s="133">
        <f>IF(AND(X32="c",Tech!Z32&lt;&gt;""),Tech!Z32,"")</f>
      </c>
      <c r="P98" s="133">
        <f>IF(AND(X32="c",Tech!AA32&lt;&gt;""),Tech!AA32,"")</f>
      </c>
      <c r="Q98" s="133">
        <f>IF(AND(X32="c",Tech!AB32&lt;&gt;""),Tech!AB32,"")</f>
      </c>
      <c r="R98" s="133">
        <f>IF(AND(X32="c",Tech!AC32&lt;&gt;""),Tech!AC32,"")</f>
      </c>
      <c r="S98" s="133">
        <f>IF(AND(X32="c",Tech!AD32&lt;&gt;""),Tech!AD32,"")</f>
      </c>
      <c r="T98" s="133">
        <f>IF(AND(X32="c",Tech!AE32&lt;&gt;""),Tech!AE32,"")</f>
      </c>
      <c r="U98" s="19"/>
    </row>
    <row r="99" spans="8:21" ht="12.75">
      <c r="H99" s="150"/>
      <c r="I99" s="149" t="s">
        <v>35</v>
      </c>
      <c r="J99" s="133">
        <f>+IF(K99="","",(+ABS(IF(K99="",0,K99))+ABS(IF(L99="",0,L99))+ABS(IF(M99="",0,M99))+ABS(IF(N99="",0,N99))+ABS(IF(O99="",0,O99))+ABS(IF(P99="",0,P99))+ABS(IF(Q99="",0,Q99))+ABS(IF(R99="",0,R99))+ABS(IF(S99="",0,S99))+ABS(IF(T99="",0,T99)))/+COUNT(K99:T99))</f>
      </c>
      <c r="K99" s="133">
        <f>IF(X32="c",Tech!AH32,"")</f>
      </c>
      <c r="L99" s="133">
        <f>IF(X32="c",Tech!AI32,"")</f>
      </c>
      <c r="M99" s="133">
        <f>IF(AND(X32="c",Tech!AJ32&lt;&gt;""),Tech!AJ32,"")</f>
      </c>
      <c r="N99" s="133">
        <f>IF(AND(X32="c",Tech!AK32&lt;&gt;""),Tech!AK32,"")</f>
      </c>
      <c r="O99" s="133">
        <f>IF(AND(X32="c",Tech!AL32&lt;&gt;""),Tech!AL32,"")</f>
      </c>
      <c r="P99" s="133">
        <f>IF(AND(X32="c",Tech!AM32&lt;&gt;""),Tech!AM32,"")</f>
      </c>
      <c r="Q99" s="133">
        <f>IF(AND(X32="c",Tech!AN32&lt;&gt;""),Tech!AN32,"")</f>
      </c>
      <c r="R99" s="133">
        <f>IF(AND(X32="c",Tech!AO32&lt;&gt;""),Tech!AO32,"")</f>
      </c>
      <c r="S99" s="133">
        <f>IF(AND(X32="c",Tech!AP32&lt;&gt;""),Tech!AP32,"")</f>
      </c>
      <c r="T99" s="133">
        <f>IF(AND(X32="c",Tech!AQ32&lt;&gt;""),Tech!AQ32,"")</f>
      </c>
      <c r="U99" s="19"/>
    </row>
    <row r="100" spans="8:21" ht="12.75">
      <c r="H100" s="150"/>
      <c r="I100" s="149" t="s">
        <v>33</v>
      </c>
      <c r="J100" s="133">
        <f>+IF(K100="","",(+ABS(IF(K100="",0,K100))+ABS(IF(L100="",0,L100))+ABS(IF(M100="",0,M100))+ABS(IF(N100="",0,N100))+ABS(IF(O100="",0,O100))+ABS(IF(P100="",0,P100))+ABS(IF(Q100="",0,Q100))+ABS(IF(R100="",0,R100))+ABS(IF(S100="",0,S100))+ABS(IF(T100="",0,T100)))/+COUNT(K100:T100))</f>
      </c>
      <c r="K100" s="133">
        <f>IF(X32="c",Tech!AT32,"")</f>
      </c>
      <c r="L100" s="133">
        <f>IF(X32="c",Tech!AU32,"")</f>
      </c>
      <c r="M100" s="133">
        <f>IF(AND(X32="c",Tech!AV32&lt;&gt;""),Tech!AV32,"")</f>
      </c>
      <c r="N100" s="133">
        <f>IF(AND(X32="c",Tech!AW32&lt;&gt;""),Tech!AW32,"")</f>
      </c>
      <c r="O100" s="133">
        <f>IF(AND(X32="c",Tech!AX32&lt;&gt;""),Tech!AX32,"")</f>
      </c>
      <c r="P100" s="133">
        <f>IF(AND(X32="c",Tech!AY32&lt;&gt;""),Tech!AY32,"")</f>
      </c>
      <c r="Q100" s="133">
        <f>IF(AND(X32="c",Tech!AZ32&lt;&gt;""),Tech!AZ32,"")</f>
      </c>
      <c r="R100" s="133">
        <f>IF(AND(X32="c",Tech!BA32&lt;&gt;""),Tech!BA32,"")</f>
      </c>
      <c r="S100" s="133">
        <f>IF(AND(X32="c",Tech!BB32&lt;&gt;""),Tech!BB32,"")</f>
      </c>
      <c r="T100" s="133">
        <f>IF(AND(X32="c",Tech!BC32&lt;&gt;""),Tech!BC32,"")</f>
      </c>
      <c r="U100" s="19"/>
    </row>
    <row r="101" spans="8:21" ht="12.75">
      <c r="H101" s="144">
        <f>IF(V33="","",V33)</f>
      </c>
      <c r="I101" s="145" t="s">
        <v>32</v>
      </c>
      <c r="J101" s="146" t="s">
        <v>36</v>
      </c>
      <c r="K101" s="133">
        <f>IF($X$33="","",$Y$33*K$15)</f>
      </c>
      <c r="L101" s="133">
        <f aca="true" t="shared" si="25" ref="L101:T101">IF(OR(L$15="",$X$33=""),"",$Y$33*L$15)</f>
      </c>
      <c r="M101" s="133">
        <f t="shared" si="25"/>
      </c>
      <c r="N101" s="133">
        <f t="shared" si="25"/>
      </c>
      <c r="O101" s="133">
        <f t="shared" si="25"/>
      </c>
      <c r="P101" s="133">
        <f t="shared" si="25"/>
      </c>
      <c r="Q101" s="133">
        <f t="shared" si="25"/>
      </c>
      <c r="R101" s="133">
        <f t="shared" si="25"/>
      </c>
      <c r="S101" s="133">
        <f t="shared" si="25"/>
      </c>
      <c r="T101" s="133">
        <f t="shared" si="25"/>
      </c>
      <c r="U101" s="19"/>
    </row>
    <row r="102" spans="8:21" ht="12.75">
      <c r="H102" s="150"/>
      <c r="I102" s="148" t="s">
        <v>29</v>
      </c>
      <c r="J102" s="133">
        <f>+IF(K102="","",(+ABS(IF(K102="",0,K102))+ABS(IF(L102="",0,L102))+ABS(IF(M102="",0,M102))+ABS(IF(N102="",0,N102))+ABS(IF(O102="",0,O102))+ABS(IF(P102="",0,P102))+ABS(IF(Q102="",0,Q102))+ABS(IF(R102="",0,R102))+ABS(IF(S102="",0,S102))+ABS(IF(T102="",0,T102)))/+COUNT(K102:T102))</f>
      </c>
      <c r="K102" s="133">
        <f>IF(X33="b",Tech!J33,"")</f>
      </c>
      <c r="L102" s="133">
        <f>IF(X33="b",Tech!K33,"")</f>
      </c>
      <c r="M102" s="133">
        <f>IF(AND(X33="b",Tech!L33&lt;&gt;""),Tech!L33,"")</f>
      </c>
      <c r="N102" s="133">
        <f>IF(AND(X33="b",Tech!M33&lt;&gt;""),Tech!M33,"")</f>
      </c>
      <c r="O102" s="133">
        <f>IF(AND(X33="b",Tech!N33&lt;&gt;""),Tech!N33,"")</f>
      </c>
      <c r="P102" s="133">
        <f>IF(AND(X33="b",Tech!O33&lt;&gt;""),Tech!O33,"")</f>
      </c>
      <c r="Q102" s="133">
        <f>IF(AND(X33="b",Tech!P33&lt;&gt;""),Tech!P33,"")</f>
      </c>
      <c r="R102" s="133">
        <f>IF(AND(X33="b",Tech!Q33&lt;&gt;""),Tech!Q33,"")</f>
      </c>
      <c r="S102" s="133">
        <f>IF(AND(X33="b",Tech!R33&lt;&gt;""),Tech!R33,"")</f>
      </c>
      <c r="T102" s="133">
        <f>IF(AND(X33="b",Tech!S33&lt;&gt;""),Tech!S33,"")</f>
      </c>
      <c r="U102" s="19"/>
    </row>
    <row r="103" spans="8:21" ht="12.75">
      <c r="H103" s="150"/>
      <c r="I103" s="149" t="s">
        <v>34</v>
      </c>
      <c r="J103" s="133">
        <f>+IF(K103="","",(+ABS(IF(K103="",0,K103))+ABS(IF(L103="",0,L103))+ABS(IF(M103="",0,M103))+ABS(IF(N103="",0,N103))+ABS(IF(O103="",0,O103))+ABS(IF(P103="",0,P103))+ABS(IF(Q103="",0,Q103))+ABS(IF(R103="",0,R103))+ABS(IF(S103="",0,S103))+ABS(IF(T103="",0,T103)))/+COUNT(K103:T103))</f>
      </c>
      <c r="K103" s="133">
        <f>IF(X33="c",Tech!V33,"")</f>
      </c>
      <c r="L103" s="133">
        <f>IF(X33="c",Tech!W33,"")</f>
      </c>
      <c r="M103" s="133">
        <f>IF(AND(X33="c",Tech!X33&lt;&gt;""),Tech!X33,"")</f>
      </c>
      <c r="N103" s="133">
        <f>IF(AND(X33="c",Tech!Y33&lt;&gt;""),Tech!Y33,"")</f>
      </c>
      <c r="O103" s="133">
        <f>IF(AND(X33="c",Tech!Z33&lt;&gt;""),Tech!Z33,"")</f>
      </c>
      <c r="P103" s="133">
        <f>IF(AND(X33="c",Tech!AA33&lt;&gt;""),Tech!AA33,"")</f>
      </c>
      <c r="Q103" s="133">
        <f>IF(AND(X33="c",Tech!AB33&lt;&gt;""),Tech!AB33,"")</f>
      </c>
      <c r="R103" s="133">
        <f>IF(AND(X33="c",Tech!AC33&lt;&gt;""),Tech!AC33,"")</f>
      </c>
      <c r="S103" s="133">
        <f>IF(AND(X33="c",Tech!AD33&lt;&gt;""),Tech!AD33,"")</f>
      </c>
      <c r="T103" s="133">
        <f>IF(AND(X33="c",Tech!AE33&lt;&gt;""),Tech!AE33,"")</f>
      </c>
      <c r="U103" s="19"/>
    </row>
    <row r="104" spans="8:21" ht="12.75">
      <c r="H104" s="150"/>
      <c r="I104" s="149" t="s">
        <v>35</v>
      </c>
      <c r="J104" s="133">
        <f>+IF(K104="","",(+ABS(IF(K104="",0,K104))+ABS(IF(L104="",0,L104))+ABS(IF(M104="",0,M104))+ABS(IF(N104="",0,N104))+ABS(IF(O104="",0,O104))+ABS(IF(P104="",0,P104))+ABS(IF(Q104="",0,Q104))+ABS(IF(R104="",0,R104))+ABS(IF(S104="",0,S104))+ABS(IF(T104="",0,T104)))/+COUNT(K104:T104))</f>
      </c>
      <c r="K104" s="133">
        <f>IF(X33="c",Tech!AH33,"")</f>
      </c>
      <c r="L104" s="133">
        <f>IF(X33="c",Tech!AI33,"")</f>
      </c>
      <c r="M104" s="133">
        <f>IF(AND(X33="c",Tech!AJ33&lt;&gt;""),Tech!AJ33,"")</f>
      </c>
      <c r="N104" s="133">
        <f>IF(AND(X33="c",Tech!AK33&lt;&gt;""),Tech!AK33,"")</f>
      </c>
      <c r="O104" s="133">
        <f>IF(AND(X33="c",Tech!AL33&lt;&gt;""),Tech!AL33,"")</f>
      </c>
      <c r="P104" s="133">
        <f>IF(AND(X33="c",Tech!AM33&lt;&gt;""),Tech!AM33,"")</f>
      </c>
      <c r="Q104" s="133">
        <f>IF(AND(X33="c",Tech!AN33&lt;&gt;""),Tech!AN33,"")</f>
      </c>
      <c r="R104" s="133">
        <f>IF(AND(X33="c",Tech!AO33&lt;&gt;""),Tech!AO33,"")</f>
      </c>
      <c r="S104" s="133">
        <f>IF(AND(X33="c",Tech!AP33&lt;&gt;""),Tech!AP33,"")</f>
      </c>
      <c r="T104" s="133">
        <f>IF(AND(X33="c",Tech!AQ33&lt;&gt;""),Tech!AQ33,"")</f>
      </c>
      <c r="U104" s="19"/>
    </row>
    <row r="105" spans="8:21" ht="12.75">
      <c r="H105" s="150"/>
      <c r="I105" s="149" t="s">
        <v>33</v>
      </c>
      <c r="J105" s="133">
        <f>+IF(K105="","",(+ABS(IF(K105="",0,K105))+ABS(IF(L105="",0,L105))+ABS(IF(M105="",0,M105))+ABS(IF(N105="",0,N105))+ABS(IF(O105="",0,O105))+ABS(IF(P105="",0,P105))+ABS(IF(Q105="",0,Q105))+ABS(IF(R105="",0,R105))+ABS(IF(S105="",0,S105))+ABS(IF(T105="",0,T105)))/+COUNT(K105:T105))</f>
      </c>
      <c r="K105" s="133">
        <f>IF(X33="c",Tech!AT33,"")</f>
      </c>
      <c r="L105" s="133">
        <f>IF(X33="c",Tech!AU33,"")</f>
      </c>
      <c r="M105" s="133">
        <f>IF(AND(X33="c",Tech!AV33&lt;&gt;""),Tech!AV33,"")</f>
      </c>
      <c r="N105" s="133">
        <f>IF(AND(X33="c",Tech!AW33&lt;&gt;""),Tech!AW33,"")</f>
      </c>
      <c r="O105" s="133">
        <f>IF(AND(X33="c",Tech!AX33&lt;&gt;""),Tech!AX33,"")</f>
      </c>
      <c r="P105" s="133">
        <f>IF(AND(X33="c",Tech!AY33&lt;&gt;""),Tech!AY33,"")</f>
      </c>
      <c r="Q105" s="133">
        <f>IF(AND(X33="c",Tech!AZ33&lt;&gt;""),Tech!AZ33,"")</f>
      </c>
      <c r="R105" s="133">
        <f>IF(AND(X33="c",Tech!BA33&lt;&gt;""),Tech!BA33,"")</f>
      </c>
      <c r="S105" s="133">
        <f>IF(AND(X33="c",Tech!BB33&lt;&gt;""),Tech!BB33,"")</f>
      </c>
      <c r="T105" s="133">
        <f>IF(AND(X33="c",Tech!BC33&lt;&gt;""),Tech!BC33,"")</f>
      </c>
      <c r="U105" s="19"/>
    </row>
    <row r="106" spans="8:21" ht="12.75">
      <c r="H106" s="144">
        <f>IF(V34="","",V34)</f>
      </c>
      <c r="I106" s="145" t="s">
        <v>32</v>
      </c>
      <c r="J106" s="146" t="s">
        <v>36</v>
      </c>
      <c r="K106" s="133">
        <f>IF($X$34="","",$Y$34*K$15)</f>
      </c>
      <c r="L106" s="133">
        <f aca="true" t="shared" si="26" ref="L106:T106">IF(OR(L$15="",$X$34=""),"",$Y$34*L$15)</f>
      </c>
      <c r="M106" s="133">
        <f t="shared" si="26"/>
      </c>
      <c r="N106" s="133">
        <f t="shared" si="26"/>
      </c>
      <c r="O106" s="133">
        <f t="shared" si="26"/>
      </c>
      <c r="P106" s="133">
        <f t="shared" si="26"/>
      </c>
      <c r="Q106" s="133">
        <f t="shared" si="26"/>
      </c>
      <c r="R106" s="133">
        <f t="shared" si="26"/>
      </c>
      <c r="S106" s="133">
        <f t="shared" si="26"/>
      </c>
      <c r="T106" s="133">
        <f t="shared" si="26"/>
      </c>
      <c r="U106" s="19"/>
    </row>
    <row r="107" spans="8:21" ht="12.75">
      <c r="H107" s="150"/>
      <c r="I107" s="148" t="s">
        <v>29</v>
      </c>
      <c r="J107" s="133">
        <f>+IF(K107="","",(+ABS(IF(K107="",0,K107))+ABS(IF(L107="",0,L107))+ABS(IF(M107="",0,M107))+ABS(IF(N107="",0,N107))+ABS(IF(O107="",0,O107))+ABS(IF(P107="",0,P107))+ABS(IF(Q107="",0,Q107))+ABS(IF(R107="",0,R107))+ABS(IF(S107="",0,S107))+ABS(IF(T107="",0,T107)))/+COUNT(K107:T107))</f>
      </c>
      <c r="K107" s="133">
        <f>IF(X34="b",Tech!J34,"")</f>
      </c>
      <c r="L107" s="133">
        <f>IF(X34="b",Tech!K34,"")</f>
      </c>
      <c r="M107" s="133">
        <f>IF(AND(X34="b",Tech!L34&lt;&gt;""),Tech!L34,"")</f>
      </c>
      <c r="N107" s="133">
        <f>IF(AND(X34="b",Tech!M34&lt;&gt;""),Tech!M34,"")</f>
      </c>
      <c r="O107" s="133">
        <f>IF(AND(X34="b",Tech!N34&lt;&gt;""),Tech!N34,"")</f>
      </c>
      <c r="P107" s="133">
        <f>IF(AND(X34="b",Tech!O34&lt;&gt;""),Tech!O34,"")</f>
      </c>
      <c r="Q107" s="133">
        <f>IF(AND(X34="b",Tech!P34&lt;&gt;""),Tech!P34,"")</f>
      </c>
      <c r="R107" s="133">
        <f>IF(AND(X34="b",Tech!Q34&lt;&gt;""),Tech!Q34,"")</f>
      </c>
      <c r="S107" s="133">
        <f>IF(AND(X34="b",Tech!R34&lt;&gt;""),Tech!R34,"")</f>
      </c>
      <c r="T107" s="133">
        <f>IF(AND(X34="b",Tech!S34&lt;&gt;""),Tech!S34,"")</f>
      </c>
      <c r="U107" s="19"/>
    </row>
    <row r="108" spans="8:21" ht="12.75">
      <c r="H108" s="150"/>
      <c r="I108" s="149" t="s">
        <v>34</v>
      </c>
      <c r="J108" s="133">
        <f>+IF(K108="","",(+ABS(IF(K108="",0,K108))+ABS(IF(L108="",0,L108))+ABS(IF(M108="",0,M108))+ABS(IF(N108="",0,N108))+ABS(IF(O108="",0,O108))+ABS(IF(P108="",0,P108))+ABS(IF(Q108="",0,Q108))+ABS(IF(R108="",0,R108))+ABS(IF(S108="",0,S108))+ABS(IF(T108="",0,T108)))/+COUNT(K108:T108))</f>
      </c>
      <c r="K108" s="133">
        <f>IF(X34="c",Tech!V34,"")</f>
      </c>
      <c r="L108" s="133">
        <f>IF(X34="c",Tech!W34,"")</f>
      </c>
      <c r="M108" s="133">
        <f>IF(AND(X34="c",Tech!X34&lt;&gt;""),Tech!X34,"")</f>
      </c>
      <c r="N108" s="133">
        <f>IF(AND(X34="c",Tech!Y34&lt;&gt;""),Tech!Y34,"")</f>
      </c>
      <c r="O108" s="133">
        <f>IF(AND(X34="c",Tech!Z34&lt;&gt;""),Tech!Z34,"")</f>
      </c>
      <c r="P108" s="133">
        <f>IF(AND(X34="c",Tech!AA34&lt;&gt;""),Tech!AA34,"")</f>
      </c>
      <c r="Q108" s="133">
        <f>IF(AND(X34="c",Tech!AB34&lt;&gt;""),Tech!AB34,"")</f>
      </c>
      <c r="R108" s="133">
        <f>IF(AND(X34="c",Tech!AC34&lt;&gt;""),Tech!AC34,"")</f>
      </c>
      <c r="S108" s="133">
        <f>IF(AND(X34="c",Tech!AD34&lt;&gt;""),Tech!AD34,"")</f>
      </c>
      <c r="T108" s="133">
        <f>IF(AND(X34="c",Tech!AE34&lt;&gt;""),Tech!AE34,"")</f>
      </c>
      <c r="U108" s="19"/>
    </row>
    <row r="109" spans="8:21" ht="12.75">
      <c r="H109" s="150"/>
      <c r="I109" s="149" t="s">
        <v>35</v>
      </c>
      <c r="J109" s="133">
        <f>+IF(K109="","",(+ABS(IF(K109="",0,K109))+ABS(IF(L109="",0,L109))+ABS(IF(M109="",0,M109))+ABS(IF(N109="",0,N109))+ABS(IF(O109="",0,O109))+ABS(IF(P109="",0,P109))+ABS(IF(Q109="",0,Q109))+ABS(IF(R109="",0,R109))+ABS(IF(S109="",0,S109))+ABS(IF(T109="",0,T109)))/+COUNT(K109:T109))</f>
      </c>
      <c r="K109" s="133">
        <f>IF(X34="c",Tech!AH34,"")</f>
      </c>
      <c r="L109" s="133">
        <f>IF(X34="c",Tech!AI34,"")</f>
      </c>
      <c r="M109" s="133">
        <f>IF(AND(X34="c",Tech!AJ34&lt;&gt;""),Tech!AJ34,"")</f>
      </c>
      <c r="N109" s="133">
        <f>IF(AND(X34="c",Tech!AK34&lt;&gt;""),Tech!AK34,"")</f>
      </c>
      <c r="O109" s="133">
        <f>IF(AND(X34="c",Tech!AL34&lt;&gt;""),Tech!AL34,"")</f>
      </c>
      <c r="P109" s="133">
        <f>IF(AND(X34="c",Tech!AM34&lt;&gt;""),Tech!AM34,"")</f>
      </c>
      <c r="Q109" s="133">
        <f>IF(AND(X34="c",Tech!AN34&lt;&gt;""),Tech!AN34,"")</f>
      </c>
      <c r="R109" s="133">
        <f>IF(AND(X34="c",Tech!AO34&lt;&gt;""),Tech!AO34,"")</f>
      </c>
      <c r="S109" s="133">
        <f>IF(AND(X34="c",Tech!AP34&lt;&gt;""),Tech!AP34,"")</f>
      </c>
      <c r="T109" s="133">
        <f>IF(AND(X34="c",Tech!AQ34&lt;&gt;""),Tech!AQ34,"")</f>
      </c>
      <c r="U109" s="19"/>
    </row>
    <row r="110" spans="8:21" ht="12.75">
      <c r="H110" s="150"/>
      <c r="I110" s="149" t="s">
        <v>33</v>
      </c>
      <c r="J110" s="133">
        <f>+IF(K110="","",(+ABS(IF(K110="",0,K110))+ABS(IF(L110="",0,L110))+ABS(IF(M110="",0,M110))+ABS(IF(N110="",0,N110))+ABS(IF(O110="",0,O110))+ABS(IF(P110="",0,P110))+ABS(IF(Q110="",0,Q110))+ABS(IF(R110="",0,R110))+ABS(IF(S110="",0,S110))+ABS(IF(T110="",0,T110)))/+COUNT(K110:T110))</f>
      </c>
      <c r="K110" s="133">
        <f>IF(X34="c",Tech!AT34,"")</f>
      </c>
      <c r="L110" s="133">
        <f>IF(X34="c",Tech!AU34,"")</f>
      </c>
      <c r="M110" s="133">
        <f>IF(AND(X34="c",Tech!AV34&lt;&gt;""),Tech!AV34,"")</f>
      </c>
      <c r="N110" s="133">
        <f>IF(AND(X34="c",Tech!AW34&lt;&gt;""),Tech!AW34,"")</f>
      </c>
      <c r="O110" s="133">
        <f>IF(AND(X34="c",Tech!AX34&lt;&gt;""),Tech!AX34,"")</f>
      </c>
      <c r="P110" s="133">
        <f>IF(AND(X34="c",Tech!AY34&lt;&gt;""),Tech!AY34,"")</f>
      </c>
      <c r="Q110" s="133">
        <f>IF(AND(X34="c",Tech!AZ34&lt;&gt;""),Tech!AZ34,"")</f>
      </c>
      <c r="R110" s="133">
        <f>IF(AND(X34="c",Tech!BA34&lt;&gt;""),Tech!BA34,"")</f>
      </c>
      <c r="S110" s="133">
        <f>IF(AND(X34="c",Tech!BB34&lt;&gt;""),Tech!BB34,"")</f>
      </c>
      <c r="T110" s="133">
        <f>IF(AND(X34="c",Tech!BC34&lt;&gt;""),Tech!BC34,"")</f>
      </c>
      <c r="U110" s="19"/>
    </row>
    <row r="111" spans="8:21" ht="12.75">
      <c r="H111" s="144">
        <f>IF(V35="","",V35)</f>
      </c>
      <c r="I111" s="145" t="s">
        <v>32</v>
      </c>
      <c r="J111" s="146" t="s">
        <v>36</v>
      </c>
      <c r="K111" s="133">
        <f>IF($X$35="","",$Y$35*K$15)</f>
      </c>
      <c r="L111" s="133">
        <f aca="true" t="shared" si="27" ref="L111:T111">IF(OR(L$15="",$X$35=""),"",$Y$35*L$15)</f>
      </c>
      <c r="M111" s="133">
        <f t="shared" si="27"/>
      </c>
      <c r="N111" s="133">
        <f t="shared" si="27"/>
      </c>
      <c r="O111" s="133">
        <f t="shared" si="27"/>
      </c>
      <c r="P111" s="133">
        <f t="shared" si="27"/>
      </c>
      <c r="Q111" s="133">
        <f t="shared" si="27"/>
      </c>
      <c r="R111" s="133">
        <f t="shared" si="27"/>
      </c>
      <c r="S111" s="133">
        <f t="shared" si="27"/>
      </c>
      <c r="T111" s="133">
        <f t="shared" si="27"/>
      </c>
      <c r="U111" s="19"/>
    </row>
    <row r="112" spans="8:21" ht="12.75">
      <c r="H112" s="150"/>
      <c r="I112" s="148" t="s">
        <v>29</v>
      </c>
      <c r="J112" s="133">
        <f>+IF(K112="","",(+ABS(IF(K112="",0,K112))+ABS(IF(L112="",0,L112))+ABS(IF(M112="",0,M112))+ABS(IF(N112="",0,N112))+ABS(IF(O112="",0,O112))+ABS(IF(P112="",0,P112))+ABS(IF(Q112="",0,Q112))+ABS(IF(R112="",0,R112))+ABS(IF(S112="",0,S112))+ABS(IF(T112="",0,T112)))/+COUNT(K112:T112))</f>
      </c>
      <c r="K112" s="133">
        <f>IF(X35="b",Tech!J35,"")</f>
      </c>
      <c r="L112" s="133">
        <f>IF(X35="b",Tech!K35,"")</f>
      </c>
      <c r="M112" s="133">
        <f>IF(AND(X35="b",Tech!L35&lt;&gt;""),Tech!L35,"")</f>
      </c>
      <c r="N112" s="133">
        <f>IF(AND(X35="b",Tech!M35&lt;&gt;""),Tech!M35,"")</f>
      </c>
      <c r="O112" s="133">
        <f>IF(AND(X35="b",Tech!N35&lt;&gt;""),Tech!N35,"")</f>
      </c>
      <c r="P112" s="133">
        <f>IF(AND(X35="b",Tech!O35&lt;&gt;""),Tech!O35,"")</f>
      </c>
      <c r="Q112" s="133">
        <f>IF(AND(X35="b",Tech!P35&lt;&gt;""),Tech!P35,"")</f>
      </c>
      <c r="R112" s="133">
        <f>IF(AND(X35="b",Tech!Q35&lt;&gt;""),Tech!Q35,"")</f>
      </c>
      <c r="S112" s="133">
        <f>IF(AND(X35="b",Tech!R35&lt;&gt;""),Tech!R35,"")</f>
      </c>
      <c r="T112" s="133">
        <f>IF(AND(X35="b",Tech!S35&lt;&gt;""),Tech!S35,"")</f>
      </c>
      <c r="U112" s="19"/>
    </row>
    <row r="113" spans="8:21" ht="12.75">
      <c r="H113" s="150"/>
      <c r="I113" s="149" t="s">
        <v>34</v>
      </c>
      <c r="J113" s="133">
        <f>+IF(K113="","",(+ABS(IF(K113="",0,K113))+ABS(IF(L113="",0,L113))+ABS(IF(M113="",0,M113))+ABS(IF(N113="",0,N113))+ABS(IF(O113="",0,O113))+ABS(IF(P113="",0,P113))+ABS(IF(Q113="",0,Q113))+ABS(IF(R113="",0,R113))+ABS(IF(S113="",0,S113))+ABS(IF(T113="",0,T113)))/+COUNT(K113:T113))</f>
      </c>
      <c r="K113" s="133">
        <f>IF(X35="c",Tech!V35,"")</f>
      </c>
      <c r="L113" s="133">
        <f>IF(X35="c",Tech!W35,"")</f>
      </c>
      <c r="M113" s="133">
        <f>IF(AND(X35="c",Tech!X35&lt;&gt;""),Tech!X35,"")</f>
      </c>
      <c r="N113" s="133">
        <f>IF(AND(X35="c",Tech!Y35&lt;&gt;""),Tech!Y35,"")</f>
      </c>
      <c r="O113" s="133">
        <f>IF(AND(X35="c",Tech!Z35&lt;&gt;""),Tech!Z35,"")</f>
      </c>
      <c r="P113" s="133">
        <f>IF(AND(X35="c",Tech!AA35&lt;&gt;""),Tech!AA35,"")</f>
      </c>
      <c r="Q113" s="133">
        <f>IF(AND(X35="c",Tech!AB35&lt;&gt;""),Tech!AB35,"")</f>
      </c>
      <c r="R113" s="133">
        <f>IF(AND(X35="c",Tech!AC35&lt;&gt;""),Tech!AC35,"")</f>
      </c>
      <c r="S113" s="133">
        <f>IF(AND(X35="c",Tech!AD35&lt;&gt;""),Tech!AD35,"")</f>
      </c>
      <c r="T113" s="133">
        <f>IF(AND(X35="c",Tech!AE35&lt;&gt;""),Tech!AE35,"")</f>
      </c>
      <c r="U113" s="19"/>
    </row>
    <row r="114" spans="8:21" ht="12.75">
      <c r="H114" s="150"/>
      <c r="I114" s="149" t="s">
        <v>35</v>
      </c>
      <c r="J114" s="133">
        <f>+IF(K114="","",(+ABS(IF(K114="",0,K114))+ABS(IF(L114="",0,L114))+ABS(IF(M114="",0,M114))+ABS(IF(N114="",0,N114))+ABS(IF(O114="",0,O114))+ABS(IF(P114="",0,P114))+ABS(IF(Q114="",0,Q114))+ABS(IF(R114="",0,R114))+ABS(IF(S114="",0,S114))+ABS(IF(T114="",0,T114)))/+COUNT(K114:T114))</f>
      </c>
      <c r="K114" s="133">
        <f>IF(X35="c",Tech!AH35,"")</f>
      </c>
      <c r="L114" s="133">
        <f>IF(X35="c",Tech!AI35,"")</f>
      </c>
      <c r="M114" s="133">
        <f>IF(AND(X35="c",Tech!AJ35&lt;&gt;""),Tech!AJ35,"")</f>
      </c>
      <c r="N114" s="133">
        <f>IF(AND(X35="c",Tech!AK35&lt;&gt;""),Tech!AK35,"")</f>
      </c>
      <c r="O114" s="133">
        <f>IF(AND(X35="c",Tech!AL35&lt;&gt;""),Tech!AL35,"")</f>
      </c>
      <c r="P114" s="133">
        <f>IF(AND(X35="c",Tech!AM35&lt;&gt;""),Tech!AM35,"")</f>
      </c>
      <c r="Q114" s="133">
        <f>IF(AND(X35="c",Tech!AN35&lt;&gt;""),Tech!AN35,"")</f>
      </c>
      <c r="R114" s="133">
        <f>IF(AND(X35="c",Tech!AO35&lt;&gt;""),Tech!AO35,"")</f>
      </c>
      <c r="S114" s="133">
        <f>IF(AND(X35="c",Tech!AP35&lt;&gt;""),Tech!AP35,"")</f>
      </c>
      <c r="T114" s="133">
        <f>IF(AND(X35="c",Tech!AQ35&lt;&gt;""),Tech!AQ35,"")</f>
      </c>
      <c r="U114" s="19"/>
    </row>
    <row r="115" spans="8:21" ht="12.75">
      <c r="H115" s="150"/>
      <c r="I115" s="149" t="s">
        <v>33</v>
      </c>
      <c r="J115" s="133">
        <f>+IF(K115="","",(+ABS(IF(K115="",0,K115))+ABS(IF(L115="",0,L115))+ABS(IF(M115="",0,M115))+ABS(IF(N115="",0,N115))+ABS(IF(O115="",0,O115))+ABS(IF(P115="",0,P115))+ABS(IF(Q115="",0,Q115))+ABS(IF(R115="",0,R115))+ABS(IF(S115="",0,S115))+ABS(IF(T115="",0,T115)))/+COUNT(K115:T115))</f>
      </c>
      <c r="K115" s="133">
        <f>IF(X35="c",Tech!AT35,"")</f>
      </c>
      <c r="L115" s="133">
        <f>IF(X35="c",Tech!AU35,"")</f>
      </c>
      <c r="M115" s="133">
        <f>IF(AND(X35="c",Tech!AV35&lt;&gt;""),Tech!AV35,"")</f>
      </c>
      <c r="N115" s="133">
        <f>IF(AND(X35="c",Tech!AW35&lt;&gt;""),Tech!AW35,"")</f>
      </c>
      <c r="O115" s="133">
        <f>IF(AND(X35="c",Tech!AX35&lt;&gt;""),Tech!AX35,"")</f>
      </c>
      <c r="P115" s="133">
        <f>IF(AND(X35="c",Tech!AY35&lt;&gt;""),Tech!AY35,"")</f>
      </c>
      <c r="Q115" s="133">
        <f>IF(AND(X35="c",Tech!AZ35&lt;&gt;""),Tech!AZ35,"")</f>
      </c>
      <c r="R115" s="133">
        <f>IF(AND(X35="c",Tech!BA35&lt;&gt;""),Tech!BA35,"")</f>
      </c>
      <c r="S115" s="133">
        <f>IF(AND(X35="c",Tech!BB35&lt;&gt;""),Tech!BB35,"")</f>
      </c>
      <c r="T115" s="133">
        <f>IF(AND(X35="c",Tech!BC35&lt;&gt;""),Tech!BC35,"")</f>
      </c>
      <c r="U115" s="19"/>
    </row>
    <row r="116" spans="8:21" ht="12.75">
      <c r="H116" s="144">
        <f>IF(V36="","",V36)</f>
      </c>
      <c r="I116" s="145" t="s">
        <v>32</v>
      </c>
      <c r="J116" s="146" t="s">
        <v>36</v>
      </c>
      <c r="K116" s="133">
        <f>IF($X$36="","",$Y$36*K$15)</f>
      </c>
      <c r="L116" s="133">
        <f aca="true" t="shared" si="28" ref="L116:T116">IF(OR(L$15="",$X$36=""),"",$Y$36*L$15)</f>
      </c>
      <c r="M116" s="133">
        <f t="shared" si="28"/>
      </c>
      <c r="N116" s="133">
        <f t="shared" si="28"/>
      </c>
      <c r="O116" s="133">
        <f t="shared" si="28"/>
      </c>
      <c r="P116" s="133">
        <f t="shared" si="28"/>
      </c>
      <c r="Q116" s="133">
        <f t="shared" si="28"/>
      </c>
      <c r="R116" s="133">
        <f t="shared" si="28"/>
      </c>
      <c r="S116" s="133">
        <f t="shared" si="28"/>
      </c>
      <c r="T116" s="133">
        <f t="shared" si="28"/>
      </c>
      <c r="U116" s="19"/>
    </row>
    <row r="117" spans="8:21" ht="12.75">
      <c r="H117" s="150"/>
      <c r="I117" s="148" t="s">
        <v>29</v>
      </c>
      <c r="J117" s="133">
        <f>+IF(K117="","",(+ABS(IF(K117="",0,K117))+ABS(IF(L117="",0,L117))+ABS(IF(M117="",0,M117))+ABS(IF(N117="",0,N117))+ABS(IF(O117="",0,O117))+ABS(IF(P117="",0,P117))+ABS(IF(Q117="",0,Q117))+ABS(IF(R117="",0,R117))+ABS(IF(S117="",0,S117))+ABS(IF(T117="",0,T117)))/+COUNT(K117:T117))</f>
      </c>
      <c r="K117" s="133">
        <f>IF(X36="b",Tech!J36,"")</f>
      </c>
      <c r="L117" s="133">
        <f>IF(X36="b",Tech!K36,"")</f>
      </c>
      <c r="M117" s="133">
        <f>IF(AND(X36="b",Tech!L36&lt;&gt;""),Tech!L36,"")</f>
      </c>
      <c r="N117" s="133">
        <f>IF(AND(X36="b",Tech!M36&lt;&gt;""),Tech!M36,"")</f>
      </c>
      <c r="O117" s="133">
        <f>IF(AND(X36="b",Tech!N36&lt;&gt;""),Tech!N36,"")</f>
      </c>
      <c r="P117" s="133">
        <f>IF(AND(X36="b",Tech!O36&lt;&gt;""),Tech!O36,"")</f>
      </c>
      <c r="Q117" s="133">
        <f>IF(AND(X36="b",Tech!P36&lt;&gt;""),Tech!P36,"")</f>
      </c>
      <c r="R117" s="133">
        <f>IF(AND(X36="b",Tech!Q36&lt;&gt;""),Tech!Q36,"")</f>
      </c>
      <c r="S117" s="133">
        <f>IF(AND(X36="b",Tech!R36&lt;&gt;""),Tech!R36,"")</f>
      </c>
      <c r="T117" s="133">
        <f>IF(AND(X36="b",Tech!S36&lt;&gt;""),Tech!S36,"")</f>
      </c>
      <c r="U117" s="19"/>
    </row>
    <row r="118" spans="8:21" ht="12.75">
      <c r="H118" s="150"/>
      <c r="I118" s="149" t="s">
        <v>34</v>
      </c>
      <c r="J118" s="133">
        <f>+IF(K118="","",(+ABS(IF(K118="",0,K118))+ABS(IF(L118="",0,L118))+ABS(IF(M118="",0,M118))+ABS(IF(N118="",0,N118))+ABS(IF(O118="",0,O118))+ABS(IF(P118="",0,P118))+ABS(IF(Q118="",0,Q118))+ABS(IF(R118="",0,R118))+ABS(IF(S118="",0,S118))+ABS(IF(T118="",0,T118)))/+COUNT(K118:T118))</f>
      </c>
      <c r="K118" s="133">
        <f>IF(X36="c",Tech!V36,"")</f>
      </c>
      <c r="L118" s="133">
        <f>IF(X36="c",Tech!W36,"")</f>
      </c>
      <c r="M118" s="133">
        <f>IF(AND(X36="c",Tech!X36&lt;&gt;""),Tech!X36,"")</f>
      </c>
      <c r="N118" s="133">
        <f>IF(AND(X36="c",Tech!Y36&lt;&gt;""),Tech!Y36,"")</f>
      </c>
      <c r="O118" s="133">
        <f>IF(AND(X36="c",Tech!Z36&lt;&gt;""),Tech!Z36,"")</f>
      </c>
      <c r="P118" s="133">
        <f>IF(AND(X36="c",Tech!AA36&lt;&gt;""),Tech!AA36,"")</f>
      </c>
      <c r="Q118" s="133">
        <f>IF(AND(X36="c",Tech!AB36&lt;&gt;""),Tech!AB36,"")</f>
      </c>
      <c r="R118" s="133">
        <f>IF(AND(X36="c",Tech!AC36&lt;&gt;""),Tech!AC36,"")</f>
      </c>
      <c r="S118" s="133">
        <f>IF(AND(X36="c",Tech!AD36&lt;&gt;""),Tech!AD36,"")</f>
      </c>
      <c r="T118" s="133">
        <f>IF(AND(X36="c",Tech!AE36&lt;&gt;""),Tech!AE36,"")</f>
      </c>
      <c r="U118" s="19"/>
    </row>
    <row r="119" spans="8:21" ht="12.75">
      <c r="H119" s="150"/>
      <c r="I119" s="149" t="s">
        <v>35</v>
      </c>
      <c r="J119" s="133">
        <f>+IF(K119="","",(+ABS(IF(K119="",0,K119))+ABS(IF(L119="",0,L119))+ABS(IF(M119="",0,M119))+ABS(IF(N119="",0,N119))+ABS(IF(O119="",0,O119))+ABS(IF(P119="",0,P119))+ABS(IF(Q119="",0,Q119))+ABS(IF(R119="",0,R119))+ABS(IF(S119="",0,S119))+ABS(IF(T119="",0,T119)))/+COUNT(K119:T119))</f>
      </c>
      <c r="K119" s="133">
        <f>IF(X36="c",Tech!AH36,"")</f>
      </c>
      <c r="L119" s="133">
        <f>IF(X36="c",Tech!AI36,"")</f>
      </c>
      <c r="M119" s="133">
        <f>IF(AND(X36="c",Tech!AJ36&lt;&gt;""),Tech!AJ36,"")</f>
      </c>
      <c r="N119" s="133">
        <f>IF(AND(X36="c",Tech!AK36&lt;&gt;""),Tech!AK36,"")</f>
      </c>
      <c r="O119" s="133">
        <f>IF(AND(X36="c",Tech!AL36&lt;&gt;""),Tech!AL36,"")</f>
      </c>
      <c r="P119" s="133">
        <f>IF(AND(X36="c",Tech!AM36&lt;&gt;""),Tech!AM36,"")</f>
      </c>
      <c r="Q119" s="133">
        <f>IF(AND(X36="c",Tech!AN36&lt;&gt;""),Tech!AN36,"")</f>
      </c>
      <c r="R119" s="133">
        <f>IF(AND(X36="c",Tech!AO36&lt;&gt;""),Tech!AO36,"")</f>
      </c>
      <c r="S119" s="133">
        <f>IF(AND(X36="c",Tech!AP36&lt;&gt;""),Tech!AP36,"")</f>
      </c>
      <c r="T119" s="133">
        <f>IF(AND(X36="c",Tech!AQ36&lt;&gt;""),Tech!AQ36,"")</f>
      </c>
      <c r="U119" s="19"/>
    </row>
    <row r="120" spans="8:21" ht="12.75">
      <c r="H120" s="150"/>
      <c r="I120" s="149" t="s">
        <v>33</v>
      </c>
      <c r="J120" s="133">
        <f>+IF(K120="","",(+ABS(IF(K120="",0,K120))+ABS(IF(L120="",0,L120))+ABS(IF(M120="",0,M120))+ABS(IF(N120="",0,N120))+ABS(IF(O120="",0,O120))+ABS(IF(P120="",0,P120))+ABS(IF(Q120="",0,Q120))+ABS(IF(R120="",0,R120))+ABS(IF(S120="",0,S120))+ABS(IF(T120="",0,T120)))/+COUNT(K120:T120))</f>
      </c>
      <c r="K120" s="133">
        <f>IF(X36="c",Tech!AT36,"")</f>
      </c>
      <c r="L120" s="133">
        <f>IF(X36="c",Tech!AU36,"")</f>
      </c>
      <c r="M120" s="133">
        <f>IF(AND(X36="c",Tech!AV36&lt;&gt;""),Tech!AV36,"")</f>
      </c>
      <c r="N120" s="133">
        <f>IF(AND(X36="c",Tech!AW36&lt;&gt;""),Tech!AW36,"")</f>
      </c>
      <c r="O120" s="133">
        <f>IF(AND(X36="c",Tech!AX36&lt;&gt;""),Tech!AX36,"")</f>
      </c>
      <c r="P120" s="133">
        <f>IF(AND(X36="c",Tech!AY36&lt;&gt;""),Tech!AY36,"")</f>
      </c>
      <c r="Q120" s="133">
        <f>IF(AND(X36="c",Tech!AZ36&lt;&gt;""),Tech!AZ36,"")</f>
      </c>
      <c r="R120" s="133">
        <f>IF(AND(X36="c",Tech!BA36&lt;&gt;""),Tech!BA36,"")</f>
      </c>
      <c r="S120" s="133">
        <f>IF(AND(X36="c",Tech!BB36&lt;&gt;""),Tech!BB36,"")</f>
      </c>
      <c r="T120" s="133">
        <f>IF(AND(X36="c",Tech!BC36&lt;&gt;""),Tech!BC36,"")</f>
      </c>
      <c r="U120" s="19"/>
    </row>
    <row r="121" spans="8:21" ht="12.75">
      <c r="H121" s="144">
        <f>IF(V37="","",V37)</f>
      </c>
      <c r="I121" s="145" t="s">
        <v>32</v>
      </c>
      <c r="J121" s="146" t="s">
        <v>36</v>
      </c>
      <c r="K121" s="133">
        <f>IF($X$37="","",$Y$37*K$15)</f>
      </c>
      <c r="L121" s="133">
        <f aca="true" t="shared" si="29" ref="L121:T121">IF(OR(L$15="",$X$37=""),"",$Y$37*L$15)</f>
      </c>
      <c r="M121" s="133">
        <f t="shared" si="29"/>
      </c>
      <c r="N121" s="133">
        <f t="shared" si="29"/>
      </c>
      <c r="O121" s="133">
        <f t="shared" si="29"/>
      </c>
      <c r="P121" s="133">
        <f t="shared" si="29"/>
      </c>
      <c r="Q121" s="133">
        <f t="shared" si="29"/>
      </c>
      <c r="R121" s="133">
        <f t="shared" si="29"/>
      </c>
      <c r="S121" s="133">
        <f t="shared" si="29"/>
      </c>
      <c r="T121" s="133">
        <f t="shared" si="29"/>
      </c>
      <c r="U121" s="19"/>
    </row>
    <row r="122" spans="8:21" ht="12.75">
      <c r="H122" s="150"/>
      <c r="I122" s="148" t="s">
        <v>29</v>
      </c>
      <c r="J122" s="133">
        <f>+IF(K122="","",(+ABS(IF(K122="",0,K122))+ABS(IF(L122="",0,L122))+ABS(IF(M122="",0,M122))+ABS(IF(N122="",0,N122))+ABS(IF(O122="",0,O122))+ABS(IF(P122="",0,P122))+ABS(IF(Q122="",0,Q122))+ABS(IF(R122="",0,R122))+ABS(IF(S122="",0,S122))+ABS(IF(T122="",0,T122)))/+COUNT(K122:T122))</f>
      </c>
      <c r="K122" s="133">
        <f>IF(X37="b",Tech!J37,"")</f>
      </c>
      <c r="L122" s="133">
        <f>IF(X37="b",Tech!K37,"")</f>
      </c>
      <c r="M122" s="133">
        <f>IF(AND(X37="b",Tech!L37&lt;&gt;""),Tech!L37,"")</f>
      </c>
      <c r="N122" s="133">
        <f>IF(AND(X37="b",Tech!M37&lt;&gt;""),Tech!M37,"")</f>
      </c>
      <c r="O122" s="133">
        <f>IF(AND(X37="b",Tech!N37&lt;&gt;""),Tech!N37,"")</f>
      </c>
      <c r="P122" s="133">
        <f>IF(AND(X37="b",Tech!O37&lt;&gt;""),Tech!O37,"")</f>
      </c>
      <c r="Q122" s="133">
        <f>IF(AND(X37="b",Tech!P37&lt;&gt;""),Tech!P37,"")</f>
      </c>
      <c r="R122" s="133">
        <f>IF(AND(X37="b",Tech!Q37&lt;&gt;""),Tech!Q37,"")</f>
      </c>
      <c r="S122" s="133">
        <f>IF(AND(X37="b",Tech!R37&lt;&gt;""),Tech!R37,"")</f>
      </c>
      <c r="T122" s="133">
        <f>IF(AND(X37="b",Tech!S37&lt;&gt;""),Tech!S37,"")</f>
      </c>
      <c r="U122" s="19"/>
    </row>
    <row r="123" spans="8:21" ht="12.75">
      <c r="H123" s="150"/>
      <c r="I123" s="149" t="s">
        <v>34</v>
      </c>
      <c r="J123" s="133">
        <f>+IF(K123="","",(+ABS(IF(K123="",0,K123))+ABS(IF(L123="",0,L123))+ABS(IF(M123="",0,M123))+ABS(IF(N123="",0,N123))+ABS(IF(O123="",0,O123))+ABS(IF(P123="",0,P123))+ABS(IF(Q123="",0,Q123))+ABS(IF(R123="",0,R123))+ABS(IF(S123="",0,S123))+ABS(IF(T123="",0,T123)))/+COUNT(K123:T123))</f>
      </c>
      <c r="K123" s="133">
        <f>IF(X37="c",Tech!V37,"")</f>
      </c>
      <c r="L123" s="133">
        <f>IF(X37="c",Tech!W37,"")</f>
      </c>
      <c r="M123" s="133">
        <f>IF(AND(X37="c",Tech!X37&lt;&gt;""),Tech!X37,"")</f>
      </c>
      <c r="N123" s="133">
        <f>IF(AND(X37="c",Tech!Y37&lt;&gt;""),Tech!Y37,"")</f>
      </c>
      <c r="O123" s="133">
        <f>IF(AND(X37="c",Tech!Z37&lt;&gt;""),Tech!Z37,"")</f>
      </c>
      <c r="P123" s="133">
        <f>IF(AND(X37="c",Tech!AA37&lt;&gt;""),Tech!AA37,"")</f>
      </c>
      <c r="Q123" s="133">
        <f>IF(AND(X37="c",Tech!AB37&lt;&gt;""),Tech!AB37,"")</f>
      </c>
      <c r="R123" s="133">
        <f>IF(AND(X37="c",Tech!AC37&lt;&gt;""),Tech!AC37,"")</f>
      </c>
      <c r="S123" s="133">
        <f>IF(AND(X37="c",Tech!AD37&lt;&gt;""),Tech!AD37,"")</f>
      </c>
      <c r="T123" s="133">
        <f>IF(AND(X37="c",Tech!AE37&lt;&gt;""),Tech!AE37,"")</f>
      </c>
      <c r="U123" s="19"/>
    </row>
    <row r="124" spans="8:21" ht="12.75">
      <c r="H124" s="150"/>
      <c r="I124" s="149" t="s">
        <v>35</v>
      </c>
      <c r="J124" s="133">
        <f>+IF(K124="","",(+ABS(IF(K124="",0,K124))+ABS(IF(L124="",0,L124))+ABS(IF(M124="",0,M124))+ABS(IF(N124="",0,N124))+ABS(IF(O124="",0,O124))+ABS(IF(P124="",0,P124))+ABS(IF(Q124="",0,Q124))+ABS(IF(R124="",0,R124))+ABS(IF(S124="",0,S124))+ABS(IF(T124="",0,T124)))/+COUNT(K124:T124))</f>
      </c>
      <c r="K124" s="133">
        <f>IF(X37="c",Tech!AH37,"")</f>
      </c>
      <c r="L124" s="133">
        <f>IF(X37="c",Tech!AI37,"")</f>
      </c>
      <c r="M124" s="133">
        <f>IF(AND(X37="c",Tech!AJ37&lt;&gt;""),Tech!AJ37,"")</f>
      </c>
      <c r="N124" s="133">
        <f>IF(AND(X37="c",Tech!AK37&lt;&gt;""),Tech!AK37,"")</f>
      </c>
      <c r="O124" s="133">
        <f>IF(AND(X37="c",Tech!AL37&lt;&gt;""),Tech!AL37,"")</f>
      </c>
      <c r="P124" s="133">
        <f>IF(AND(X37="c",Tech!AM37&lt;&gt;""),Tech!AM37,"")</f>
      </c>
      <c r="Q124" s="133">
        <f>IF(AND(X37="c",Tech!AN37&lt;&gt;""),Tech!AN37,"")</f>
      </c>
      <c r="R124" s="133">
        <f>IF(AND(X37="c",Tech!AO37&lt;&gt;""),Tech!AO37,"")</f>
      </c>
      <c r="S124" s="133">
        <f>IF(AND(X37="c",Tech!AP37&lt;&gt;""),Tech!AP37,"")</f>
      </c>
      <c r="T124" s="133">
        <f>IF(AND(X37="c",Tech!AQ37&lt;&gt;""),Tech!AQ37,"")</f>
      </c>
      <c r="U124" s="19"/>
    </row>
    <row r="125" spans="8:21" ht="12.75">
      <c r="H125" s="150"/>
      <c r="I125" s="149" t="s">
        <v>33</v>
      </c>
      <c r="J125" s="133">
        <f>+IF(K125="","",(+ABS(IF(K125="",0,K125))+ABS(IF(L125="",0,L125))+ABS(IF(M125="",0,M125))+ABS(IF(N125="",0,N125))+ABS(IF(O125="",0,O125))+ABS(IF(P125="",0,P125))+ABS(IF(Q125="",0,Q125))+ABS(IF(R125="",0,R125))+ABS(IF(S125="",0,S125))+ABS(IF(T125="",0,T125)))/+COUNT(K125:T125))</f>
      </c>
      <c r="K125" s="133">
        <f>IF(X37="c",Tech!AT37,"")</f>
      </c>
      <c r="L125" s="133">
        <f>IF(X37="c",Tech!AU37,"")</f>
      </c>
      <c r="M125" s="133">
        <f>IF(AND(X37="c",Tech!AV37&lt;&gt;""),Tech!AV37,"")</f>
      </c>
      <c r="N125" s="133">
        <f>IF(AND(X37="c",Tech!AW37&lt;&gt;""),Tech!AW37,"")</f>
      </c>
      <c r="O125" s="133">
        <f>IF(AND(X37="c",Tech!AX37&lt;&gt;""),Tech!AX37,"")</f>
      </c>
      <c r="P125" s="133">
        <f>IF(AND(X37="c",Tech!AY37&lt;&gt;""),Tech!AY37,"")</f>
      </c>
      <c r="Q125" s="133">
        <f>IF(AND(X37="c",Tech!AZ37&lt;&gt;""),Tech!AZ37,"")</f>
      </c>
      <c r="R125" s="133">
        <f>IF(AND(X37="c",Tech!BA37&lt;&gt;""),Tech!BA37,"")</f>
      </c>
      <c r="S125" s="133">
        <f>IF(AND(X37="c",Tech!BB37&lt;&gt;""),Tech!BB37,"")</f>
      </c>
      <c r="T125" s="133">
        <f>IF(AND(X37="c",Tech!BC37&lt;&gt;""),Tech!BC37,"")</f>
      </c>
      <c r="U125" s="19"/>
    </row>
    <row r="126" spans="8:21" ht="12.75">
      <c r="H126" s="144">
        <f>IF(V38="","",V38)</f>
      </c>
      <c r="I126" s="145" t="s">
        <v>32</v>
      </c>
      <c r="J126" s="146" t="s">
        <v>36</v>
      </c>
      <c r="K126" s="133">
        <f>IF($X$38="","",$Y$38*K$15)</f>
      </c>
      <c r="L126" s="133">
        <f aca="true" t="shared" si="30" ref="L126:T126">IF(OR(L$15="",$X$38=""),"",$Y$38*L$15)</f>
      </c>
      <c r="M126" s="133">
        <f t="shared" si="30"/>
      </c>
      <c r="N126" s="133">
        <f t="shared" si="30"/>
      </c>
      <c r="O126" s="133">
        <f t="shared" si="30"/>
      </c>
      <c r="P126" s="133">
        <f t="shared" si="30"/>
      </c>
      <c r="Q126" s="133">
        <f t="shared" si="30"/>
      </c>
      <c r="R126" s="133">
        <f t="shared" si="30"/>
      </c>
      <c r="S126" s="133">
        <f t="shared" si="30"/>
      </c>
      <c r="T126" s="133">
        <f t="shared" si="30"/>
      </c>
      <c r="U126" s="19"/>
    </row>
    <row r="127" spans="8:21" ht="12.75">
      <c r="H127" s="150"/>
      <c r="I127" s="148" t="s">
        <v>29</v>
      </c>
      <c r="J127" s="133">
        <f>+IF(K127="","",(+ABS(IF(K127="",0,K127))+ABS(IF(L127="",0,L127))+ABS(IF(M127="",0,M127))+ABS(IF(N127="",0,N127))+ABS(IF(O127="",0,O127))+ABS(IF(P127="",0,P127))+ABS(IF(Q127="",0,Q127))+ABS(IF(R127="",0,R127))+ABS(IF(S127="",0,S127))+ABS(IF(T127="",0,T127)))/+COUNT(K127:T127))</f>
      </c>
      <c r="K127" s="133">
        <f>IF(X38="b",Tech!J38,"")</f>
      </c>
      <c r="L127" s="133">
        <f>IF(X38="b",Tech!K38,"")</f>
      </c>
      <c r="M127" s="133">
        <f>IF(AND(X38="b",Tech!L38&lt;&gt;""),Tech!L38,"")</f>
      </c>
      <c r="N127" s="133">
        <f>IF(AND(X38="b",Tech!M38&lt;&gt;""),Tech!M38,"")</f>
      </c>
      <c r="O127" s="133">
        <f>IF(AND(X38="b",Tech!N38&lt;&gt;""),Tech!N38,"")</f>
      </c>
      <c r="P127" s="133">
        <f>IF(AND(X38="b",Tech!O38&lt;&gt;""),Tech!O38,"")</f>
      </c>
      <c r="Q127" s="133">
        <f>IF(AND(X38="b",Tech!P38&lt;&gt;""),Tech!P38,"")</f>
      </c>
      <c r="R127" s="133">
        <f>IF(AND(X38="b",Tech!Q38&lt;&gt;""),Tech!Q38,"")</f>
      </c>
      <c r="S127" s="133">
        <f>IF(AND(X38="b",Tech!R38&lt;&gt;""),Tech!R38,"")</f>
      </c>
      <c r="T127" s="133">
        <f>IF(AND(X38="b",Tech!S38&lt;&gt;""),Tech!S38,"")</f>
      </c>
      <c r="U127" s="19"/>
    </row>
    <row r="128" spans="8:21" ht="12.75">
      <c r="H128" s="150"/>
      <c r="I128" s="149" t="s">
        <v>34</v>
      </c>
      <c r="J128" s="133">
        <f>+IF(K128="","",(+ABS(IF(K128="",0,K128))+ABS(IF(L128="",0,L128))+ABS(IF(M128="",0,M128))+ABS(IF(N128="",0,N128))+ABS(IF(O128="",0,O128))+ABS(IF(P128="",0,P128))+ABS(IF(Q128="",0,Q128))+ABS(IF(R128="",0,R128))+ABS(IF(S128="",0,S128))+ABS(IF(T128="",0,T128)))/+COUNT(K128:T128))</f>
      </c>
      <c r="K128" s="133">
        <f>IF(X38="c",Tech!V38,"")</f>
      </c>
      <c r="L128" s="133">
        <f>IF(X38="c",Tech!W38,"")</f>
      </c>
      <c r="M128" s="133">
        <f>IF(AND(X38="c",Tech!X38&lt;&gt;""),Tech!X38,"")</f>
      </c>
      <c r="N128" s="133">
        <f>IF(AND(X38="c",Tech!Y38&lt;&gt;""),Tech!Y38,"")</f>
      </c>
      <c r="O128" s="133">
        <f>IF(AND(X38="c",Tech!Z38&lt;&gt;""),Tech!Z38,"")</f>
      </c>
      <c r="P128" s="133">
        <f>IF(AND(X38="c",Tech!AA38&lt;&gt;""),Tech!AA38,"")</f>
      </c>
      <c r="Q128" s="133">
        <f>IF(AND(X38="c",Tech!AB38&lt;&gt;""),Tech!AB38,"")</f>
      </c>
      <c r="R128" s="133">
        <f>IF(AND(X38="c",Tech!AC38&lt;&gt;""),Tech!AC38,"")</f>
      </c>
      <c r="S128" s="133">
        <f>IF(AND(X38="c",Tech!AD38&lt;&gt;""),Tech!AD38,"")</f>
      </c>
      <c r="T128" s="133">
        <f>IF(AND(X38="c",Tech!AE38&lt;&gt;""),Tech!AE38,"")</f>
      </c>
      <c r="U128" s="19"/>
    </row>
    <row r="129" spans="8:21" ht="12.75">
      <c r="H129" s="150"/>
      <c r="I129" s="149" t="s">
        <v>35</v>
      </c>
      <c r="J129" s="133">
        <f>+IF(K129="","",(+ABS(IF(K129="",0,K129))+ABS(IF(L129="",0,L129))+ABS(IF(M129="",0,M129))+ABS(IF(N129="",0,N129))+ABS(IF(O129="",0,O129))+ABS(IF(P129="",0,P129))+ABS(IF(Q129="",0,Q129))+ABS(IF(R129="",0,R129))+ABS(IF(S129="",0,S129))+ABS(IF(T129="",0,T129)))/+COUNT(K129:T129))</f>
      </c>
      <c r="K129" s="133">
        <f>IF(X38="c",Tech!AH38,"")</f>
      </c>
      <c r="L129" s="133">
        <f>IF(X38="c",Tech!AI38,"")</f>
      </c>
      <c r="M129" s="133">
        <f>IF(AND(X38="c",Tech!AJ38&lt;&gt;""),Tech!AJ38,"")</f>
      </c>
      <c r="N129" s="133">
        <f>IF(AND(X38="c",Tech!AK38&lt;&gt;""),Tech!AK38,"")</f>
      </c>
      <c r="O129" s="133">
        <f>IF(AND(X38="c",Tech!AL38&lt;&gt;""),Tech!AL38,"")</f>
      </c>
      <c r="P129" s="133">
        <f>IF(AND(X38="c",Tech!AM38&lt;&gt;""),Tech!AM38,"")</f>
      </c>
      <c r="Q129" s="133">
        <f>IF(AND(X38="c",Tech!AN38&lt;&gt;""),Tech!AN38,"")</f>
      </c>
      <c r="R129" s="133">
        <f>IF(AND(X38="c",Tech!AO38&lt;&gt;""),Tech!AO38,"")</f>
      </c>
      <c r="S129" s="133">
        <f>IF(AND(X38="c",Tech!AP38&lt;&gt;""),Tech!AP38,"")</f>
      </c>
      <c r="T129" s="133">
        <f>IF(AND(X38="c",Tech!AQ38&lt;&gt;""),Tech!AQ38,"")</f>
      </c>
      <c r="U129" s="19"/>
    </row>
    <row r="130" spans="8:21" ht="12.75">
      <c r="H130" s="150"/>
      <c r="I130" s="149" t="s">
        <v>33</v>
      </c>
      <c r="J130" s="133">
        <f>+IF(K130="","",(+ABS(IF(K130="",0,K130))+ABS(IF(L130="",0,L130))+ABS(IF(M130="",0,M130))+ABS(IF(N130="",0,N130))+ABS(IF(O130="",0,O130))+ABS(IF(P130="",0,P130))+ABS(IF(Q130="",0,Q130))+ABS(IF(R130="",0,R130))+ABS(IF(S130="",0,S130))+ABS(IF(T130="",0,T130)))/+COUNT(K130:T130))</f>
      </c>
      <c r="K130" s="133">
        <f>IF(X38="c",Tech!AT38,"")</f>
      </c>
      <c r="L130" s="133">
        <f>IF(X38="c",Tech!AU38,"")</f>
      </c>
      <c r="M130" s="133">
        <f>IF(AND(X38="c",Tech!AV38&lt;&gt;""),Tech!AV38,"")</f>
      </c>
      <c r="N130" s="133">
        <f>IF(AND(X38="c",Tech!AW38&lt;&gt;""),Tech!AW38,"")</f>
      </c>
      <c r="O130" s="133">
        <f>IF(AND(X38="c",Tech!AX38&lt;&gt;""),Tech!AX38,"")</f>
      </c>
      <c r="P130" s="133">
        <f>IF(AND(X38="c",Tech!AY38&lt;&gt;""),Tech!AY38,"")</f>
      </c>
      <c r="Q130" s="133">
        <f>IF(AND(X38="c",Tech!AZ38&lt;&gt;""),Tech!AZ38,"")</f>
      </c>
      <c r="R130" s="133">
        <f>IF(AND(X38="c",Tech!BA38&lt;&gt;""),Tech!BA38,"")</f>
      </c>
      <c r="S130" s="133">
        <f>IF(AND(X38="c",Tech!BB38&lt;&gt;""),Tech!BB38,"")</f>
      </c>
      <c r="T130" s="133">
        <f>IF(AND(X38="c",Tech!BC38&lt;&gt;""),Tech!BC38,"")</f>
      </c>
      <c r="U130" s="19"/>
    </row>
    <row r="131" spans="8:21" ht="12.75">
      <c r="H131" s="144">
        <f>IF(V39="","",V39)</f>
      </c>
      <c r="I131" s="145" t="s">
        <v>32</v>
      </c>
      <c r="J131" s="146" t="s">
        <v>36</v>
      </c>
      <c r="K131" s="133">
        <f>IF($X$39="","",$Y$39*K$15)</f>
      </c>
      <c r="L131" s="133">
        <f aca="true" t="shared" si="31" ref="L131:T131">IF(OR(L$15="",$X$39=""),"",$Y$39*L$15)</f>
      </c>
      <c r="M131" s="133">
        <f t="shared" si="31"/>
      </c>
      <c r="N131" s="133">
        <f t="shared" si="31"/>
      </c>
      <c r="O131" s="133">
        <f t="shared" si="31"/>
      </c>
      <c r="P131" s="133">
        <f t="shared" si="31"/>
      </c>
      <c r="Q131" s="133">
        <f t="shared" si="31"/>
      </c>
      <c r="R131" s="133">
        <f t="shared" si="31"/>
      </c>
      <c r="S131" s="133">
        <f t="shared" si="31"/>
      </c>
      <c r="T131" s="133">
        <f t="shared" si="31"/>
      </c>
      <c r="U131" s="19"/>
    </row>
    <row r="132" spans="8:21" ht="12.75">
      <c r="H132" s="150"/>
      <c r="I132" s="148" t="s">
        <v>29</v>
      </c>
      <c r="J132" s="133">
        <f>+IF(K132="","",(+ABS(IF(K132="",0,K132))+ABS(IF(L132="",0,L132))+ABS(IF(M132="",0,M132))+ABS(IF(N132="",0,N132))+ABS(IF(O132="",0,O132))+ABS(IF(P132="",0,P132))+ABS(IF(Q132="",0,Q132))+ABS(IF(R132="",0,R132))+ABS(IF(S132="",0,S132))+ABS(IF(T132="",0,T132)))/+COUNT(K132:T132))</f>
      </c>
      <c r="K132" s="133">
        <f>IF(X39="b",Tech!J39,"")</f>
      </c>
      <c r="L132" s="133">
        <f>IF(X39="b",Tech!K39,"")</f>
      </c>
      <c r="M132" s="133">
        <f>IF(AND(X39="b",Tech!L39&lt;&gt;""),Tech!L39,"")</f>
      </c>
      <c r="N132" s="133">
        <f>IF(AND(X39="b",Tech!M39&lt;&gt;""),Tech!M39,"")</f>
      </c>
      <c r="O132" s="133">
        <f>IF(AND(X39="b",Tech!N39&lt;&gt;""),Tech!N39,"")</f>
      </c>
      <c r="P132" s="133">
        <f>IF(AND(X39="b",Tech!O39&lt;&gt;""),Tech!O39,"")</f>
      </c>
      <c r="Q132" s="133">
        <f>IF(AND(X39="b",Tech!P39&lt;&gt;""),Tech!P39,"")</f>
      </c>
      <c r="R132" s="133">
        <f>IF(AND(X39="b",Tech!Q39&lt;&gt;""),Tech!Q39,"")</f>
      </c>
      <c r="S132" s="133">
        <f>IF(AND(X39="b",Tech!R39&lt;&gt;""),Tech!R39,"")</f>
      </c>
      <c r="T132" s="133">
        <f>IF(AND(X39="b",Tech!S39&lt;&gt;""),Tech!S39,"")</f>
      </c>
      <c r="U132" s="19"/>
    </row>
    <row r="133" spans="8:21" ht="12.75">
      <c r="H133" s="150"/>
      <c r="I133" s="149" t="s">
        <v>34</v>
      </c>
      <c r="J133" s="133">
        <f>+IF(K133="","",(+ABS(IF(K133="",0,K133))+ABS(IF(L133="",0,L133))+ABS(IF(M133="",0,M133))+ABS(IF(N133="",0,N133))+ABS(IF(O133="",0,O133))+ABS(IF(P133="",0,P133))+ABS(IF(Q133="",0,Q133))+ABS(IF(R133="",0,R133))+ABS(IF(S133="",0,S133))+ABS(IF(T133="",0,T133)))/+COUNT(K133:T133))</f>
      </c>
      <c r="K133" s="133">
        <f>IF(X39="c",Tech!V39,"")</f>
      </c>
      <c r="L133" s="133">
        <f>IF(X39="c",Tech!W39,"")</f>
      </c>
      <c r="M133" s="133">
        <f>IF(AND(X39="c",Tech!X39&lt;&gt;""),Tech!X39,"")</f>
      </c>
      <c r="N133" s="133">
        <f>IF(AND(X39="c",Tech!Y39&lt;&gt;""),Tech!Y39,"")</f>
      </c>
      <c r="O133" s="133">
        <f>IF(AND(X39="c",Tech!Z39&lt;&gt;""),Tech!Z39,"")</f>
      </c>
      <c r="P133" s="133">
        <f>IF(AND(X39="c",Tech!AA39&lt;&gt;""),Tech!AA39,"")</f>
      </c>
      <c r="Q133" s="133">
        <f>IF(AND(X39="c",Tech!AB39&lt;&gt;""),Tech!AB39,"")</f>
      </c>
      <c r="R133" s="133">
        <f>IF(AND(X39="c",Tech!AC39&lt;&gt;""),Tech!AC39,"")</f>
      </c>
      <c r="S133" s="133">
        <f>IF(AND(X39="c",Tech!AD39&lt;&gt;""),Tech!AD39,"")</f>
      </c>
      <c r="T133" s="133">
        <f>IF(AND(X39="c",Tech!AE39&lt;&gt;""),Tech!AE39,"")</f>
      </c>
      <c r="U133" s="19"/>
    </row>
    <row r="134" spans="8:21" ht="12.75">
      <c r="H134" s="150"/>
      <c r="I134" s="149" t="s">
        <v>35</v>
      </c>
      <c r="J134" s="133">
        <f>+IF(K134="","",(+ABS(IF(K134="",0,K134))+ABS(IF(L134="",0,L134))+ABS(IF(M134="",0,M134))+ABS(IF(N134="",0,N134))+ABS(IF(O134="",0,O134))+ABS(IF(P134="",0,P134))+ABS(IF(Q134="",0,Q134))+ABS(IF(R134="",0,R134))+ABS(IF(S134="",0,S134))+ABS(IF(T134="",0,T134)))/+COUNT(K134:T134))</f>
      </c>
      <c r="K134" s="133">
        <f>IF(X39="c",Tech!AH39,"")</f>
      </c>
      <c r="L134" s="133">
        <f>IF(X39="c",Tech!AI39,"")</f>
      </c>
      <c r="M134" s="133">
        <f>IF(AND(X39="c",Tech!AJ39&lt;&gt;""),Tech!AJ39,"")</f>
      </c>
      <c r="N134" s="133">
        <f>IF(AND(X39="c",Tech!AK39&lt;&gt;""),Tech!AK39,"")</f>
      </c>
      <c r="O134" s="133">
        <f>IF(AND(X39="c",Tech!AL39&lt;&gt;""),Tech!AL39,"")</f>
      </c>
      <c r="P134" s="133">
        <f>IF(AND(X39="c",Tech!AM39&lt;&gt;""),Tech!AM39,"")</f>
      </c>
      <c r="Q134" s="133">
        <f>IF(AND(X39="c",Tech!AN39&lt;&gt;""),Tech!AN39,"")</f>
      </c>
      <c r="R134" s="133">
        <f>IF(AND(X39="c",Tech!AO39&lt;&gt;""),Tech!AO39,"")</f>
      </c>
      <c r="S134" s="133">
        <f>IF(AND(X39="c",Tech!AP39&lt;&gt;""),Tech!AP39,"")</f>
      </c>
      <c r="T134" s="133">
        <f>IF(AND(X39="c",Tech!AQ39&lt;&gt;""),Tech!AQ39,"")</f>
      </c>
      <c r="U134" s="19"/>
    </row>
    <row r="135" spans="8:21" ht="12.75">
      <c r="H135" s="150"/>
      <c r="I135" s="149" t="s">
        <v>33</v>
      </c>
      <c r="J135" s="133">
        <f>+IF(K135="","",(+ABS(IF(K135="",0,K135))+ABS(IF(L135="",0,L135))+ABS(IF(M135="",0,M135))+ABS(IF(N135="",0,N135))+ABS(IF(O135="",0,O135))+ABS(IF(P135="",0,P135))+ABS(IF(Q135="",0,Q135))+ABS(IF(R135="",0,R135))+ABS(IF(S135="",0,S135))+ABS(IF(T135="",0,T135)))/+COUNT(K135:T135))</f>
      </c>
      <c r="K135" s="133">
        <f>IF(X39="c",Tech!AT39,"")</f>
      </c>
      <c r="L135" s="133">
        <f>IF(X39="c",Tech!AU39,"")</f>
      </c>
      <c r="M135" s="133">
        <f>IF(AND(X39="c",Tech!AV39&lt;&gt;""),Tech!AV39,"")</f>
      </c>
      <c r="N135" s="133">
        <f>IF(AND(X39="c",Tech!AW39&lt;&gt;""),Tech!AW39,"")</f>
      </c>
      <c r="O135" s="133">
        <f>IF(AND(X39="c",Tech!AX39&lt;&gt;""),Tech!AX39,"")</f>
      </c>
      <c r="P135" s="133">
        <f>IF(AND(X39="c",Tech!AY39&lt;&gt;""),Tech!AY39,"")</f>
      </c>
      <c r="Q135" s="133">
        <f>IF(AND(X39="c",Tech!AZ39&lt;&gt;""),Tech!AZ39,"")</f>
      </c>
      <c r="R135" s="133">
        <f>IF(AND(X39="c",Tech!BA39&lt;&gt;""),Tech!BA39,"")</f>
      </c>
      <c r="S135" s="133">
        <f>IF(AND(X39="c",Tech!BB39&lt;&gt;""),Tech!BB39,"")</f>
      </c>
      <c r="T135" s="133">
        <f>IF(AND(X39="c",Tech!BC39&lt;&gt;""),Tech!BC39,"")</f>
      </c>
      <c r="U135" s="19"/>
    </row>
    <row r="136" spans="8:21" ht="12.75">
      <c r="H136" s="144">
        <f>IF(V40="","",V40)</f>
      </c>
      <c r="I136" s="145" t="s">
        <v>32</v>
      </c>
      <c r="J136" s="146" t="s">
        <v>36</v>
      </c>
      <c r="K136" s="133">
        <f>IF($X$40="","",$Y$40*K$15)</f>
      </c>
      <c r="L136" s="133">
        <f aca="true" t="shared" si="32" ref="L136:T136">IF(OR(L$15="",$X$40=""),"",$Y$40*L$15)</f>
      </c>
      <c r="M136" s="133">
        <f t="shared" si="32"/>
      </c>
      <c r="N136" s="133">
        <f t="shared" si="32"/>
      </c>
      <c r="O136" s="133">
        <f t="shared" si="32"/>
      </c>
      <c r="P136" s="133">
        <f t="shared" si="32"/>
      </c>
      <c r="Q136" s="133">
        <f t="shared" si="32"/>
      </c>
      <c r="R136" s="133">
        <f t="shared" si="32"/>
      </c>
      <c r="S136" s="133">
        <f t="shared" si="32"/>
      </c>
      <c r="T136" s="133">
        <f t="shared" si="32"/>
      </c>
      <c r="U136" s="19"/>
    </row>
    <row r="137" spans="8:21" ht="12.75">
      <c r="H137" s="150"/>
      <c r="I137" s="148" t="s">
        <v>29</v>
      </c>
      <c r="J137" s="133">
        <f>+IF(K137="","",(+ABS(IF(K137="",0,K137))+ABS(IF(L137="",0,L137))+ABS(IF(M137="",0,M137))+ABS(IF(N137="",0,N137))+ABS(IF(O137="",0,O137))+ABS(IF(P137="",0,P137))+ABS(IF(Q137="",0,Q137))+ABS(IF(R137="",0,R137))+ABS(IF(S137="",0,S137))+ABS(IF(T137="",0,T137)))/+COUNT(K137:T137))</f>
      </c>
      <c r="K137" s="133">
        <f>IF(X40="b",Tech!J40,"")</f>
      </c>
      <c r="L137" s="133">
        <f>IF(X40="b",Tech!K40,"")</f>
      </c>
      <c r="M137" s="133">
        <f>IF(AND(X40="b",Tech!L40&lt;&gt;""),Tech!L40,"")</f>
      </c>
      <c r="N137" s="133">
        <f>IF(AND(X40="b",Tech!M40&lt;&gt;""),Tech!M40,"")</f>
      </c>
      <c r="O137" s="133">
        <f>IF(AND(X40="b",Tech!N40&lt;&gt;""),Tech!N40,"")</f>
      </c>
      <c r="P137" s="133">
        <f>IF(AND(X40="b",Tech!O40&lt;&gt;""),Tech!O40,"")</f>
      </c>
      <c r="Q137" s="133">
        <f>IF(AND(X40="b",Tech!P40&lt;&gt;""),Tech!P40,"")</f>
      </c>
      <c r="R137" s="133">
        <f>IF(AND(X40="b",Tech!Q40&lt;&gt;""),Tech!Q40,"")</f>
      </c>
      <c r="S137" s="133">
        <f>IF(AND(X40="b",Tech!R40&lt;&gt;""),Tech!R40,"")</f>
      </c>
      <c r="T137" s="133">
        <f>IF(AND(X40="b",Tech!S40&lt;&gt;""),Tech!S40,"")</f>
      </c>
      <c r="U137" s="19"/>
    </row>
    <row r="138" spans="8:21" ht="12.75">
      <c r="H138" s="150"/>
      <c r="I138" s="149" t="s">
        <v>34</v>
      </c>
      <c r="J138" s="133">
        <f>+IF(K138="","",(+ABS(IF(K138="",0,K138))+ABS(IF(L138="",0,L138))+ABS(IF(M138="",0,M138))+ABS(IF(N138="",0,N138))+ABS(IF(O138="",0,O138))+ABS(IF(P138="",0,P138))+ABS(IF(Q138="",0,Q138))+ABS(IF(R138="",0,R138))+ABS(IF(S138="",0,S138))+ABS(IF(T138="",0,T138)))/+COUNT(K138:T138))</f>
      </c>
      <c r="K138" s="133">
        <f>IF(X40="c",Tech!V40,"")</f>
      </c>
      <c r="L138" s="133">
        <f>IF(X40="c",Tech!W40,"")</f>
      </c>
      <c r="M138" s="133">
        <f>IF(AND(X40="c",Tech!X40&lt;&gt;""),Tech!X40,"")</f>
      </c>
      <c r="N138" s="133">
        <f>IF(AND(X40="c",Tech!Y40&lt;&gt;""),Tech!Y40,"")</f>
      </c>
      <c r="O138" s="133">
        <f>IF(AND(X40="c",Tech!Z40&lt;&gt;""),Tech!Z40,"")</f>
      </c>
      <c r="P138" s="133">
        <f>IF(AND(X40="c",Tech!AA40&lt;&gt;""),Tech!AA40,"")</f>
      </c>
      <c r="Q138" s="133">
        <f>IF(AND(X40="c",Tech!AB40&lt;&gt;""),Tech!AB40,"")</f>
      </c>
      <c r="R138" s="133">
        <f>IF(AND(X40="c",Tech!AC40&lt;&gt;""),Tech!AC40,"")</f>
      </c>
      <c r="S138" s="133">
        <f>IF(AND(X40="c",Tech!AD40&lt;&gt;""),Tech!AD40,"")</f>
      </c>
      <c r="T138" s="133">
        <f>IF(AND(X40="c",Tech!AE40&lt;&gt;""),Tech!AE40,"")</f>
      </c>
      <c r="U138" s="19"/>
    </row>
    <row r="139" spans="8:21" ht="12.75">
      <c r="H139" s="150"/>
      <c r="I139" s="149" t="s">
        <v>35</v>
      </c>
      <c r="J139" s="133">
        <f>+IF(K139="","",(+ABS(IF(K139="",0,K139))+ABS(IF(L139="",0,L139))+ABS(IF(M139="",0,M139))+ABS(IF(N139="",0,N139))+ABS(IF(O139="",0,O139))+ABS(IF(P139="",0,P139))+ABS(IF(Q139="",0,Q139))+ABS(IF(R139="",0,R139))+ABS(IF(S139="",0,S139))+ABS(IF(T139="",0,T139)))/+COUNT(K139:T139))</f>
      </c>
      <c r="K139" s="133">
        <f>IF(X40="c",Tech!AH40,"")</f>
      </c>
      <c r="L139" s="133">
        <f>IF(X40="c",Tech!AI40,"")</f>
      </c>
      <c r="M139" s="133">
        <f>IF(AND(X40="c",Tech!AJ40&lt;&gt;""),Tech!AJ40,"")</f>
      </c>
      <c r="N139" s="133">
        <f>IF(AND(X40="c",Tech!AK40&lt;&gt;""),Tech!AK40,"")</f>
      </c>
      <c r="O139" s="133">
        <f>IF(AND(X40="c",Tech!AL40&lt;&gt;""),Tech!AL40,"")</f>
      </c>
      <c r="P139" s="133">
        <f>IF(AND(X40="c",Tech!AM40&lt;&gt;""),Tech!AM40,"")</f>
      </c>
      <c r="Q139" s="133">
        <f>IF(AND(X40="c",Tech!AN40&lt;&gt;""),Tech!AN40,"")</f>
      </c>
      <c r="R139" s="133">
        <f>IF(AND(X40="c",Tech!AO40&lt;&gt;""),Tech!AO40,"")</f>
      </c>
      <c r="S139" s="133">
        <f>IF(AND(X40="c",Tech!AP40&lt;&gt;""),Tech!AP40,"")</f>
      </c>
      <c r="T139" s="133">
        <f>IF(AND(X40="c",Tech!AQ40&lt;&gt;""),Tech!AQ40,"")</f>
      </c>
      <c r="U139" s="19"/>
    </row>
    <row r="140" spans="8:21" ht="12.75">
      <c r="H140" s="150"/>
      <c r="I140" s="149" t="s">
        <v>33</v>
      </c>
      <c r="J140" s="133">
        <f>+IF(K140="","",(+ABS(IF(K140="",0,K140))+ABS(IF(L140="",0,L140))+ABS(IF(M140="",0,M140))+ABS(IF(N140="",0,N140))+ABS(IF(O140="",0,O140))+ABS(IF(P140="",0,P140))+ABS(IF(Q140="",0,Q140))+ABS(IF(R140="",0,R140))+ABS(IF(S140="",0,S140))+ABS(IF(T140="",0,T140)))/+COUNT(K140:T140))</f>
      </c>
      <c r="K140" s="133">
        <f>IF(X40="c",Tech!AT40,"")</f>
      </c>
      <c r="L140" s="133">
        <f>IF(X40="c",Tech!AU40,"")</f>
      </c>
      <c r="M140" s="133">
        <f>IF(AND(X40="c",Tech!AV40&lt;&gt;""),Tech!AV40,"")</f>
      </c>
      <c r="N140" s="133">
        <f>IF(AND(X40="c",Tech!AW40&lt;&gt;""),Tech!AW40,"")</f>
      </c>
      <c r="O140" s="133">
        <f>IF(AND(X40="c",Tech!AX40&lt;&gt;""),Tech!AX40,"")</f>
      </c>
      <c r="P140" s="133">
        <f>IF(AND(X40="c",Tech!AY40&lt;&gt;""),Tech!AY40,"")</f>
      </c>
      <c r="Q140" s="133">
        <f>IF(AND(X40="c",Tech!AZ40&lt;&gt;""),Tech!AZ40,"")</f>
      </c>
      <c r="R140" s="133">
        <f>IF(AND(X40="c",Tech!BA40&lt;&gt;""),Tech!BA40,"")</f>
      </c>
      <c r="S140" s="133">
        <f>IF(AND(X40="c",Tech!BB40&lt;&gt;""),Tech!BB40,"")</f>
      </c>
      <c r="T140" s="133">
        <f>IF(AND(X40="c",Tech!BC40&lt;&gt;""),Tech!BC40,"")</f>
      </c>
      <c r="U140" s="19"/>
    </row>
    <row r="141" spans="8:21" ht="12.75">
      <c r="H141" s="144">
        <f>IF(V41="","",V41)</f>
      </c>
      <c r="I141" s="145" t="s">
        <v>32</v>
      </c>
      <c r="J141" s="146" t="s">
        <v>36</v>
      </c>
      <c r="K141" s="133">
        <f>IF($X$41="","",$Y$41*K$15)</f>
      </c>
      <c r="L141" s="133">
        <f aca="true" t="shared" si="33" ref="L141:T141">IF(OR(L$15="",$X$41=""),"",$Y$41*L$15)</f>
      </c>
      <c r="M141" s="133">
        <f t="shared" si="33"/>
      </c>
      <c r="N141" s="133">
        <f t="shared" si="33"/>
      </c>
      <c r="O141" s="133">
        <f t="shared" si="33"/>
      </c>
      <c r="P141" s="133">
        <f t="shared" si="33"/>
      </c>
      <c r="Q141" s="133">
        <f t="shared" si="33"/>
      </c>
      <c r="R141" s="133">
        <f t="shared" si="33"/>
      </c>
      <c r="S141" s="133">
        <f t="shared" si="33"/>
      </c>
      <c r="T141" s="133">
        <f t="shared" si="33"/>
      </c>
      <c r="U141" s="19"/>
    </row>
    <row r="142" spans="8:21" ht="12.75">
      <c r="H142" s="150"/>
      <c r="I142" s="148" t="s">
        <v>29</v>
      </c>
      <c r="J142" s="133">
        <f>+IF(K142="","",(+ABS(IF(K142="",0,K142))+ABS(IF(L142="",0,L142))+ABS(IF(M142="",0,M142))+ABS(IF(N142="",0,N142))+ABS(IF(O142="",0,O142))+ABS(IF(P142="",0,P142))+ABS(IF(Q142="",0,Q142))+ABS(IF(R142="",0,R142))+ABS(IF(S142="",0,S142))+ABS(IF(T142="",0,T142)))/+COUNT(K142:T142))</f>
      </c>
      <c r="K142" s="133">
        <f>IF(X41="b",Tech!J41,"")</f>
      </c>
      <c r="L142" s="133">
        <f>IF(X41="b",Tech!K41,"")</f>
      </c>
      <c r="M142" s="133">
        <f>IF(AND(X41="b",Tech!L41&lt;&gt;""),Tech!L41,"")</f>
      </c>
      <c r="N142" s="133">
        <f>IF(AND(X41="b",Tech!M41&lt;&gt;""),Tech!M41,"")</f>
      </c>
      <c r="O142" s="133">
        <f>IF(AND(X41="b",Tech!N41&lt;&gt;""),Tech!N41,"")</f>
      </c>
      <c r="P142" s="133">
        <f>IF(AND(X41="b",Tech!O41&lt;&gt;""),Tech!O41,"")</f>
      </c>
      <c r="Q142" s="133">
        <f>IF(AND(X41="b",Tech!P41&lt;&gt;""),Tech!P41,"")</f>
      </c>
      <c r="R142" s="133">
        <f>IF(AND(X41="b",Tech!Q41&lt;&gt;""),Tech!Q41,"")</f>
      </c>
      <c r="S142" s="133">
        <f>IF(AND(X41="b",Tech!R41&lt;&gt;""),Tech!R41,"")</f>
      </c>
      <c r="T142" s="133">
        <f>IF(AND(X41="b",Tech!S41&lt;&gt;""),Tech!S41,"")</f>
      </c>
      <c r="U142" s="19"/>
    </row>
    <row r="143" spans="8:21" ht="12.75">
      <c r="H143" s="150"/>
      <c r="I143" s="149" t="s">
        <v>34</v>
      </c>
      <c r="J143" s="133">
        <f>+IF(K143="","",(+ABS(IF(K143="",0,K143))+ABS(IF(L143="",0,L143))+ABS(IF(M143="",0,M143))+ABS(IF(N143="",0,N143))+ABS(IF(O143="",0,O143))+ABS(IF(P143="",0,P143))+ABS(IF(Q143="",0,Q143))+ABS(IF(R143="",0,R143))+ABS(IF(S143="",0,S143))+ABS(IF(T143="",0,T143)))/+COUNT(K143:T143))</f>
      </c>
      <c r="K143" s="133">
        <f>IF(X41="c",Tech!V41,"")</f>
      </c>
      <c r="L143" s="133">
        <f>IF(X41="c",Tech!W41,"")</f>
      </c>
      <c r="M143" s="133">
        <f>IF(AND(X41="c",Tech!X41&lt;&gt;""),Tech!X41,"")</f>
      </c>
      <c r="N143" s="133">
        <f>IF(AND(X41="c",Tech!Y41&lt;&gt;""),Tech!Y41,"")</f>
      </c>
      <c r="O143" s="133">
        <f>IF(AND(X41="c",Tech!Z41&lt;&gt;""),Tech!Z41,"")</f>
      </c>
      <c r="P143" s="133">
        <f>IF(AND(X41="c",Tech!AA41&lt;&gt;""),Tech!AA41,"")</f>
      </c>
      <c r="Q143" s="133">
        <f>IF(AND(X41="c",Tech!AB41&lt;&gt;""),Tech!AB41,"")</f>
      </c>
      <c r="R143" s="133">
        <f>IF(AND(X41="c",Tech!AC41&lt;&gt;""),Tech!AC41,"")</f>
      </c>
      <c r="S143" s="133">
        <f>IF(AND(X41="c",Tech!AD41&lt;&gt;""),Tech!AD41,"")</f>
      </c>
      <c r="T143" s="133">
        <f>IF(AND(X41="c",Tech!AE41&lt;&gt;""),Tech!AE41,"")</f>
      </c>
      <c r="U143" s="19"/>
    </row>
    <row r="144" spans="8:21" ht="12.75">
      <c r="H144" s="150"/>
      <c r="I144" s="149" t="s">
        <v>35</v>
      </c>
      <c r="J144" s="133">
        <f>+IF(K144="","",(+ABS(IF(K144="",0,K144))+ABS(IF(L144="",0,L144))+ABS(IF(M144="",0,M144))+ABS(IF(N144="",0,N144))+ABS(IF(O144="",0,O144))+ABS(IF(P144="",0,P144))+ABS(IF(Q144="",0,Q144))+ABS(IF(R144="",0,R144))+ABS(IF(S144="",0,S144))+ABS(IF(T144="",0,T144)))/+COUNT(K144:T144))</f>
      </c>
      <c r="K144" s="133">
        <f>IF(X41="c",Tech!AH41,"")</f>
      </c>
      <c r="L144" s="133">
        <f>IF(X41="c",Tech!AI41,"")</f>
      </c>
      <c r="M144" s="133">
        <f>IF(AND(X41="c",Tech!AJ41&lt;&gt;""),Tech!AJ41,"")</f>
      </c>
      <c r="N144" s="133">
        <f>IF(AND(X41="c",Tech!AK41&lt;&gt;""),Tech!AK41,"")</f>
      </c>
      <c r="O144" s="133">
        <f>IF(AND(X41="c",Tech!AL41&lt;&gt;""),Tech!AL41,"")</f>
      </c>
      <c r="P144" s="133">
        <f>IF(AND(X41="c",Tech!AM41&lt;&gt;""),Tech!AM41,"")</f>
      </c>
      <c r="Q144" s="133">
        <f>IF(AND(X41="c",Tech!AN41&lt;&gt;""),Tech!AN41,"")</f>
      </c>
      <c r="R144" s="133">
        <f>IF(AND(X41="c",Tech!AO41&lt;&gt;""),Tech!AO41,"")</f>
      </c>
      <c r="S144" s="133">
        <f>IF(AND(X41="c",Tech!AP41&lt;&gt;""),Tech!AP41,"")</f>
      </c>
      <c r="T144" s="133">
        <f>IF(AND(X41="c",Tech!AQ41&lt;&gt;""),Tech!AQ41,"")</f>
      </c>
      <c r="U144" s="19"/>
    </row>
    <row r="145" spans="8:21" ht="12.75">
      <c r="H145" s="150"/>
      <c r="I145" s="149" t="s">
        <v>33</v>
      </c>
      <c r="J145" s="133">
        <f>+IF(K145="","",(+ABS(IF(K145="",0,K145))+ABS(IF(L145="",0,L145))+ABS(IF(M145="",0,M145))+ABS(IF(N145="",0,N145))+ABS(IF(O145="",0,O145))+ABS(IF(P145="",0,P145))+ABS(IF(Q145="",0,Q145))+ABS(IF(R145="",0,R145))+ABS(IF(S145="",0,S145))+ABS(IF(T145="",0,T145)))/+COUNT(K145:T145))</f>
      </c>
      <c r="K145" s="133">
        <f>IF(X41="c",Tech!AT41,"")</f>
      </c>
      <c r="L145" s="133">
        <f>IF(X41="c",Tech!AU41,"")</f>
      </c>
      <c r="M145" s="133">
        <f>IF(AND(X41="c",Tech!AV41&lt;&gt;""),Tech!AV41,"")</f>
      </c>
      <c r="N145" s="133">
        <f>IF(AND(X41="c",Tech!AW41&lt;&gt;""),Tech!AW41,"")</f>
      </c>
      <c r="O145" s="133">
        <f>IF(AND(X41="c",Tech!AX41&lt;&gt;""),Tech!AX41,"")</f>
      </c>
      <c r="P145" s="133">
        <f>IF(AND(X41="c",Tech!AY41&lt;&gt;""),Tech!AY41,"")</f>
      </c>
      <c r="Q145" s="133">
        <f>IF(AND(X41="c",Tech!AZ41&lt;&gt;""),Tech!AZ41,"")</f>
      </c>
      <c r="R145" s="133">
        <f>IF(AND(X41="c",Tech!BA41&lt;&gt;""),Tech!BA41,"")</f>
      </c>
      <c r="S145" s="133">
        <f>IF(AND(X41="c",Tech!BB41&lt;&gt;""),Tech!BB41,"")</f>
      </c>
      <c r="T145" s="133">
        <f>IF(AND(X41="c",Tech!BC41&lt;&gt;""),Tech!BC41,"")</f>
      </c>
      <c r="U145" s="19"/>
    </row>
    <row r="146" spans="8:21" ht="12.75">
      <c r="H146" s="144">
        <f>IF(V42="","",V42)</f>
      </c>
      <c r="I146" s="145" t="s">
        <v>32</v>
      </c>
      <c r="J146" s="146" t="s">
        <v>36</v>
      </c>
      <c r="K146" s="133">
        <f>IF($X$42="","",$Y$42*K$15)</f>
      </c>
      <c r="L146" s="133">
        <f aca="true" t="shared" si="34" ref="L146:T146">IF(OR(L$15="",$X$42=""),"",$Y$42*L$15)</f>
      </c>
      <c r="M146" s="133">
        <f t="shared" si="34"/>
      </c>
      <c r="N146" s="133">
        <f t="shared" si="34"/>
      </c>
      <c r="O146" s="133">
        <f t="shared" si="34"/>
      </c>
      <c r="P146" s="133">
        <f t="shared" si="34"/>
      </c>
      <c r="Q146" s="133">
        <f t="shared" si="34"/>
      </c>
      <c r="R146" s="133">
        <f t="shared" si="34"/>
      </c>
      <c r="S146" s="133">
        <f t="shared" si="34"/>
      </c>
      <c r="T146" s="133">
        <f t="shared" si="34"/>
      </c>
      <c r="U146" s="19"/>
    </row>
    <row r="147" spans="8:21" ht="12.75">
      <c r="H147" s="150"/>
      <c r="I147" s="148" t="s">
        <v>29</v>
      </c>
      <c r="J147" s="133">
        <f>+IF(K147="","",(+ABS(IF(K147="",0,K147))+ABS(IF(L147="",0,L147))+ABS(IF(M147="",0,M147))+ABS(IF(N147="",0,N147))+ABS(IF(O147="",0,O147))+ABS(IF(P147="",0,P147))+ABS(IF(Q147="",0,Q147))+ABS(IF(R147="",0,R147))+ABS(IF(S147="",0,S147))+ABS(IF(T147="",0,T147)))/+COUNT(K147:T147))</f>
      </c>
      <c r="K147" s="133">
        <f>IF(X42="b",Tech!J42,"")</f>
      </c>
      <c r="L147" s="133">
        <f>IF(X42="b",Tech!K42,"")</f>
      </c>
      <c r="M147" s="133">
        <f>IF(AND(X42="b",Tech!L42&lt;&gt;""),Tech!L42,"")</f>
      </c>
      <c r="N147" s="133">
        <f>IF(AND(X42="b",Tech!M42&lt;&gt;""),Tech!M42,"")</f>
      </c>
      <c r="O147" s="133">
        <f>IF(AND(X42="b",Tech!N42&lt;&gt;""),Tech!N42,"")</f>
      </c>
      <c r="P147" s="133">
        <f>IF(AND(X42="b",Tech!O42&lt;&gt;""),Tech!O42,"")</f>
      </c>
      <c r="Q147" s="133">
        <f>IF(AND(X42="b",Tech!P42&lt;&gt;""),Tech!P42,"")</f>
      </c>
      <c r="R147" s="133">
        <f>IF(AND(X42="b",Tech!Q42&lt;&gt;""),Tech!Q42,"")</f>
      </c>
      <c r="S147" s="133">
        <f>IF(AND(X42="b",Tech!R42&lt;&gt;""),Tech!R42,"")</f>
      </c>
      <c r="T147" s="133">
        <f>IF(AND(X42="b",Tech!S42&lt;&gt;""),Tech!S42,"")</f>
      </c>
      <c r="U147" s="19"/>
    </row>
    <row r="148" spans="8:21" ht="12.75">
      <c r="H148" s="150"/>
      <c r="I148" s="149" t="s">
        <v>34</v>
      </c>
      <c r="J148" s="133">
        <f>+IF(K148="","",(+ABS(IF(K148="",0,K148))+ABS(IF(L148="",0,L148))+ABS(IF(M148="",0,M148))+ABS(IF(N148="",0,N148))+ABS(IF(O148="",0,O148))+ABS(IF(P148="",0,P148))+ABS(IF(Q148="",0,Q148))+ABS(IF(R148="",0,R148))+ABS(IF(S148="",0,S148))+ABS(IF(T148="",0,T148)))/+COUNT(K148:T148))</f>
      </c>
      <c r="K148" s="133">
        <f>IF(X42="c",Tech!V42,"")</f>
      </c>
      <c r="L148" s="133">
        <f>IF(X42="c",Tech!W42,"")</f>
      </c>
      <c r="M148" s="133">
        <f>IF(AND(X42="c",Tech!X42&lt;&gt;""),Tech!X42,"")</f>
      </c>
      <c r="N148" s="133">
        <f>IF(AND(X42="c",Tech!Y42&lt;&gt;""),Tech!Y42,"")</f>
      </c>
      <c r="O148" s="133">
        <f>IF(AND(X42="c",Tech!Z42&lt;&gt;""),Tech!Z42,"")</f>
      </c>
      <c r="P148" s="133">
        <f>IF(AND(X42="c",Tech!AA42&lt;&gt;""),Tech!AA42,"")</f>
      </c>
      <c r="Q148" s="133">
        <f>IF(AND(X42="c",Tech!AB42&lt;&gt;""),Tech!AB42,"")</f>
      </c>
      <c r="R148" s="133">
        <f>IF(AND(X42="c",Tech!AC42&lt;&gt;""),Tech!AC42,"")</f>
      </c>
      <c r="S148" s="133">
        <f>IF(AND(X42="c",Tech!AD42&lt;&gt;""),Tech!AD42,"")</f>
      </c>
      <c r="T148" s="133">
        <f>IF(AND(X42="c",Tech!AE42&lt;&gt;""),Tech!AE42,"")</f>
      </c>
      <c r="U148" s="19"/>
    </row>
    <row r="149" spans="8:21" ht="12.75">
      <c r="H149" s="150"/>
      <c r="I149" s="149" t="s">
        <v>35</v>
      </c>
      <c r="J149" s="133">
        <f>+IF(K149="","",(+ABS(IF(K149="",0,K149))+ABS(IF(L149="",0,L149))+ABS(IF(M149="",0,M149))+ABS(IF(N149="",0,N149))+ABS(IF(O149="",0,O149))+ABS(IF(P149="",0,P149))+ABS(IF(Q149="",0,Q149))+ABS(IF(R149="",0,R149))+ABS(IF(S149="",0,S149))+ABS(IF(T149="",0,T149)))/+COUNT(K149:T149))</f>
      </c>
      <c r="K149" s="133">
        <f>IF(X42="c",Tech!AH42,"")</f>
      </c>
      <c r="L149" s="133">
        <f>IF(X42="c",Tech!AI42,"")</f>
      </c>
      <c r="M149" s="133">
        <f>IF(AND(X42="c",Tech!AJ42&lt;&gt;""),Tech!AJ42,"")</f>
      </c>
      <c r="N149" s="133">
        <f>IF(AND(X42="c",Tech!AK42&lt;&gt;""),Tech!AK42,"")</f>
      </c>
      <c r="O149" s="133">
        <f>IF(AND(X42="c",Tech!AL42&lt;&gt;""),Tech!AL42,"")</f>
      </c>
      <c r="P149" s="133">
        <f>IF(AND(X42="c",Tech!AM42&lt;&gt;""),Tech!AM42,"")</f>
      </c>
      <c r="Q149" s="133">
        <f>IF(AND(X42="c",Tech!AN42&lt;&gt;""),Tech!AN42,"")</f>
      </c>
      <c r="R149" s="133">
        <f>IF(AND(X42="c",Tech!AO42&lt;&gt;""),Tech!AO42,"")</f>
      </c>
      <c r="S149" s="133">
        <f>IF(AND(X42="c",Tech!AP42&lt;&gt;""),Tech!AP42,"")</f>
      </c>
      <c r="T149" s="133">
        <f>IF(AND(X42="c",Tech!AQ42&lt;&gt;""),Tech!AQ42,"")</f>
      </c>
      <c r="U149" s="19"/>
    </row>
    <row r="150" spans="8:21" ht="12.75">
      <c r="H150" s="150"/>
      <c r="I150" s="149" t="s">
        <v>33</v>
      </c>
      <c r="J150" s="133">
        <f>+IF(K150="","",(+ABS(IF(K150="",0,K150))+ABS(IF(L150="",0,L150))+ABS(IF(M150="",0,M150))+ABS(IF(N150="",0,N150))+ABS(IF(O150="",0,O150))+ABS(IF(P150="",0,P150))+ABS(IF(Q150="",0,Q150))+ABS(IF(R150="",0,R150))+ABS(IF(S150="",0,S150))+ABS(IF(T150="",0,T150)))/+COUNT(K150:T150))</f>
      </c>
      <c r="K150" s="133">
        <f>IF(X42="c",Tech!AT42,"")</f>
      </c>
      <c r="L150" s="133">
        <f>IF(X42="c",Tech!AU42,"")</f>
      </c>
      <c r="M150" s="133">
        <f>IF(AND(X42="c",Tech!AV42&lt;&gt;""),Tech!AV42,"")</f>
      </c>
      <c r="N150" s="133">
        <f>IF(AND(X42="c",Tech!AW42&lt;&gt;""),Tech!AW42,"")</f>
      </c>
      <c r="O150" s="133">
        <f>IF(AND(X42="c",Tech!AX42&lt;&gt;""),Tech!AX42,"")</f>
      </c>
      <c r="P150" s="133">
        <f>IF(AND(X42="c",Tech!AY42&lt;&gt;""),Tech!AY42,"")</f>
      </c>
      <c r="Q150" s="133">
        <f>IF(AND(X42="c",Tech!AZ42&lt;&gt;""),Tech!AZ42,"")</f>
      </c>
      <c r="R150" s="133">
        <f>IF(AND(X42="c",Tech!BA42&lt;&gt;""),Tech!BA42,"")</f>
      </c>
      <c r="S150" s="133">
        <f>IF(AND(X42="c",Tech!BB42&lt;&gt;""),Tech!BB42,"")</f>
      </c>
      <c r="T150" s="133">
        <f>IF(AND(X42="c",Tech!BC42&lt;&gt;""),Tech!BC42,"")</f>
      </c>
      <c r="U150" s="19"/>
    </row>
    <row r="151" spans="8:21" ht="12.75">
      <c r="H151" s="144">
        <f>IF(V43="","",V43)</f>
      </c>
      <c r="I151" s="145" t="s">
        <v>32</v>
      </c>
      <c r="J151" s="146" t="s">
        <v>36</v>
      </c>
      <c r="K151" s="133">
        <f>IF($X$43="","",$Y$43*K$15)</f>
      </c>
      <c r="L151" s="133">
        <f aca="true" t="shared" si="35" ref="L151:T151">IF(OR(L$15="",$X$43=""),"",$Y$43*L$15)</f>
      </c>
      <c r="M151" s="133">
        <f t="shared" si="35"/>
      </c>
      <c r="N151" s="133">
        <f t="shared" si="35"/>
      </c>
      <c r="O151" s="133">
        <f t="shared" si="35"/>
      </c>
      <c r="P151" s="133">
        <f t="shared" si="35"/>
      </c>
      <c r="Q151" s="133">
        <f t="shared" si="35"/>
      </c>
      <c r="R151" s="133">
        <f t="shared" si="35"/>
      </c>
      <c r="S151" s="133">
        <f t="shared" si="35"/>
      </c>
      <c r="T151" s="133">
        <f t="shared" si="35"/>
      </c>
      <c r="U151" s="19"/>
    </row>
    <row r="152" spans="8:21" ht="12.75">
      <c r="H152" s="150"/>
      <c r="I152" s="148" t="s">
        <v>29</v>
      </c>
      <c r="J152" s="133">
        <f>+IF(K152="","",(+ABS(IF(K152="",0,K152))+ABS(IF(L152="",0,L152))+ABS(IF(M152="",0,M152))+ABS(IF(N152="",0,N152))+ABS(IF(O152="",0,O152))+ABS(IF(P152="",0,P152))+ABS(IF(Q152="",0,Q152))+ABS(IF(R152="",0,R152))+ABS(IF(S152="",0,S152))+ABS(IF(T152="",0,T152)))/+COUNT(K152:T152))</f>
      </c>
      <c r="K152" s="133">
        <f>IF(X43="b",Tech!J43,"")</f>
      </c>
      <c r="L152" s="133">
        <f>IF(X43="b",Tech!K43,"")</f>
      </c>
      <c r="M152" s="133">
        <f>IF(AND(X43="b",Tech!L43&lt;&gt;""),Tech!L43,"")</f>
      </c>
      <c r="N152" s="133">
        <f>IF(AND(X43="b",Tech!M43&lt;&gt;""),Tech!M43,"")</f>
      </c>
      <c r="O152" s="133">
        <f>IF(AND(X43="b",Tech!N43&lt;&gt;""),Tech!N43,"")</f>
      </c>
      <c r="P152" s="133">
        <f>IF(AND(X43="b",Tech!O43&lt;&gt;""),Tech!O43,"")</f>
      </c>
      <c r="Q152" s="133">
        <f>IF(AND(X43="b",Tech!P43&lt;&gt;""),Tech!P43,"")</f>
      </c>
      <c r="R152" s="133">
        <f>IF(AND(X43="b",Tech!Q43&lt;&gt;""),Tech!Q43,"")</f>
      </c>
      <c r="S152" s="133">
        <f>IF(AND(X43="b",Tech!R43&lt;&gt;""),Tech!R43,"")</f>
      </c>
      <c r="T152" s="133">
        <f>IF(AND(X43="b",Tech!S43&lt;&gt;""),Tech!S43,"")</f>
      </c>
      <c r="U152" s="19"/>
    </row>
    <row r="153" spans="8:21" ht="12.75">
      <c r="H153" s="150"/>
      <c r="I153" s="149" t="s">
        <v>34</v>
      </c>
      <c r="J153" s="133">
        <f>+IF(K153="","",(+ABS(IF(K153="",0,K153))+ABS(IF(L153="",0,L153))+ABS(IF(M153="",0,M153))+ABS(IF(N153="",0,N153))+ABS(IF(O153="",0,O153))+ABS(IF(P153="",0,P153))+ABS(IF(Q153="",0,Q153))+ABS(IF(R153="",0,R153))+ABS(IF(S153="",0,S153))+ABS(IF(T153="",0,T153)))/+COUNT(K153:T153))</f>
      </c>
      <c r="K153" s="133">
        <f>IF(X43="c",Tech!V43,"")</f>
      </c>
      <c r="L153" s="133">
        <f>IF(X43="c",Tech!W43,"")</f>
      </c>
      <c r="M153" s="133">
        <f>IF(AND(X43="c",Tech!X43&lt;&gt;""),Tech!X43,"")</f>
      </c>
      <c r="N153" s="133">
        <f>IF(AND(X43="c",Tech!Y43&lt;&gt;""),Tech!Y43,"")</f>
      </c>
      <c r="O153" s="133">
        <f>IF(AND(X43="c",Tech!Z43&lt;&gt;""),Tech!Z43,"")</f>
      </c>
      <c r="P153" s="133">
        <f>IF(AND(X43="c",Tech!AA43&lt;&gt;""),Tech!AA43,"")</f>
      </c>
      <c r="Q153" s="133">
        <f>IF(AND(X43="c",Tech!AB43&lt;&gt;""),Tech!AB43,"")</f>
      </c>
      <c r="R153" s="133">
        <f>IF(AND(X43="c",Tech!AC43&lt;&gt;""),Tech!AC43,"")</f>
      </c>
      <c r="S153" s="133">
        <f>IF(AND(X43="c",Tech!AD43&lt;&gt;""),Tech!AD43,"")</f>
      </c>
      <c r="T153" s="133">
        <f>IF(AND(X43="c",Tech!AE43&lt;&gt;""),Tech!AE43,"")</f>
      </c>
      <c r="U153" s="19"/>
    </row>
    <row r="154" spans="8:21" ht="12.75">
      <c r="H154" s="150"/>
      <c r="I154" s="149" t="s">
        <v>35</v>
      </c>
      <c r="J154" s="133">
        <f>+IF(K154="","",(+ABS(IF(K154="",0,K154))+ABS(IF(L154="",0,L154))+ABS(IF(M154="",0,M154))+ABS(IF(N154="",0,N154))+ABS(IF(O154="",0,O154))+ABS(IF(P154="",0,P154))+ABS(IF(Q154="",0,Q154))+ABS(IF(R154="",0,R154))+ABS(IF(S154="",0,S154))+ABS(IF(T154="",0,T154)))/+COUNT(K154:T154))</f>
      </c>
      <c r="K154" s="133">
        <f>IF(X43="c",Tech!AH43,"")</f>
      </c>
      <c r="L154" s="133">
        <f>IF(X43="c",Tech!AI43,"")</f>
      </c>
      <c r="M154" s="133">
        <f>IF(AND(X43="c",Tech!AJ43&lt;&gt;""),Tech!AJ43,"")</f>
      </c>
      <c r="N154" s="133">
        <f>IF(AND(X43="c",Tech!AK43&lt;&gt;""),Tech!AK43,"")</f>
      </c>
      <c r="O154" s="133">
        <f>IF(AND(X43="c",Tech!AL43&lt;&gt;""),Tech!AL43,"")</f>
      </c>
      <c r="P154" s="133">
        <f>IF(AND(X43="c",Tech!AM43&lt;&gt;""),Tech!AM43,"")</f>
      </c>
      <c r="Q154" s="133">
        <f>IF(AND(X43="c",Tech!AN43&lt;&gt;""),Tech!AN43,"")</f>
      </c>
      <c r="R154" s="133">
        <f>IF(AND(X43="c",Tech!AO43&lt;&gt;""),Tech!AO43,"")</f>
      </c>
      <c r="S154" s="133">
        <f>IF(AND(X43="c",Tech!AP43&lt;&gt;""),Tech!AP43,"")</f>
      </c>
      <c r="T154" s="133">
        <f>IF(AND(X43="c",Tech!AQ43&lt;&gt;""),Tech!AQ43,"")</f>
      </c>
      <c r="U154" s="19"/>
    </row>
    <row r="155" spans="8:21" ht="12.75">
      <c r="H155" s="150"/>
      <c r="I155" s="149" t="s">
        <v>33</v>
      </c>
      <c r="J155" s="133">
        <f>+IF(K155="","",(+ABS(IF(K155="",0,K155))+ABS(IF(L155="",0,L155))+ABS(IF(M155="",0,M155))+ABS(IF(N155="",0,N155))+ABS(IF(O155="",0,O155))+ABS(IF(P155="",0,P155))+ABS(IF(Q155="",0,Q155))+ABS(IF(R155="",0,R155))+ABS(IF(S155="",0,S155))+ABS(IF(T155="",0,T155)))/+COUNT(K155:T155))</f>
      </c>
      <c r="K155" s="133">
        <f>IF(X43="c",Tech!AT43,"")</f>
      </c>
      <c r="L155" s="133">
        <f>IF(X43="c",Tech!AU43,"")</f>
      </c>
      <c r="M155" s="133">
        <f>IF(AND(X43="c",Tech!AV43&lt;&gt;""),Tech!AV43,"")</f>
      </c>
      <c r="N155" s="133">
        <f>IF(AND(X43="c",Tech!AW43&lt;&gt;""),Tech!AW43,"")</f>
      </c>
      <c r="O155" s="133">
        <f>IF(AND(X43="c",Tech!AX43&lt;&gt;""),Tech!AX43,"")</f>
      </c>
      <c r="P155" s="133">
        <f>IF(AND(X43="c",Tech!AY43&lt;&gt;""),Tech!AY43,"")</f>
      </c>
      <c r="Q155" s="133">
        <f>IF(AND(X43="c",Tech!AZ43&lt;&gt;""),Tech!AZ43,"")</f>
      </c>
      <c r="R155" s="133">
        <f>IF(AND(X43="c",Tech!BA43&lt;&gt;""),Tech!BA43,"")</f>
      </c>
      <c r="S155" s="133">
        <f>IF(AND(X43="c",Tech!BB43&lt;&gt;""),Tech!BB43,"")</f>
      </c>
      <c r="T155" s="133">
        <f>IF(AND(X43="c",Tech!BC43&lt;&gt;""),Tech!BC43,"")</f>
      </c>
      <c r="U155" s="19"/>
    </row>
    <row r="156" spans="8:21" ht="12.75">
      <c r="H156" s="144">
        <f>IF(V44="","",V44)</f>
      </c>
      <c r="I156" s="145" t="s">
        <v>32</v>
      </c>
      <c r="J156" s="146" t="s">
        <v>36</v>
      </c>
      <c r="K156" s="133">
        <f>IF($X$44="","",$Y$44*K$15)</f>
      </c>
      <c r="L156" s="133">
        <f aca="true" t="shared" si="36" ref="L156:T156">IF(OR(L$15="",$X$44=""),"",$Y$44*L$15)</f>
      </c>
      <c r="M156" s="133">
        <f t="shared" si="36"/>
      </c>
      <c r="N156" s="133">
        <f t="shared" si="36"/>
      </c>
      <c r="O156" s="133">
        <f t="shared" si="36"/>
      </c>
      <c r="P156" s="133">
        <f t="shared" si="36"/>
      </c>
      <c r="Q156" s="133">
        <f t="shared" si="36"/>
      </c>
      <c r="R156" s="133">
        <f t="shared" si="36"/>
      </c>
      <c r="S156" s="133">
        <f t="shared" si="36"/>
      </c>
      <c r="T156" s="133">
        <f t="shared" si="36"/>
      </c>
      <c r="U156" s="19"/>
    </row>
    <row r="157" spans="8:21" ht="12.75">
      <c r="H157" s="150"/>
      <c r="I157" s="148" t="s">
        <v>29</v>
      </c>
      <c r="J157" s="133">
        <f>+IF(K157="","",(+ABS(IF(K157="",0,K157))+ABS(IF(L157="",0,L157))+ABS(IF(M157="",0,M157))+ABS(IF(N157="",0,N157))+ABS(IF(O157="",0,O157))+ABS(IF(P157="",0,P157))+ABS(IF(Q157="",0,Q157))+ABS(IF(R157="",0,R157))+ABS(IF(S157="",0,S157))+ABS(IF(T157="",0,T157)))/+COUNT(K157:T157))</f>
      </c>
      <c r="K157" s="133">
        <f>IF(X44="b",Tech!J44,"")</f>
      </c>
      <c r="L157" s="133">
        <f>IF(X44="b",Tech!K44,"")</f>
      </c>
      <c r="M157" s="133">
        <f>IF(AND(X44="b",Tech!L44&lt;&gt;""),Tech!L44,"")</f>
      </c>
      <c r="N157" s="133">
        <f>IF(AND(X44="b",Tech!M44&lt;&gt;""),Tech!M44,"")</f>
      </c>
      <c r="O157" s="133">
        <f>IF(AND(X44="b",Tech!N44&lt;&gt;""),Tech!N44,"")</f>
      </c>
      <c r="P157" s="133">
        <f>IF(AND(X44="b",Tech!O44&lt;&gt;""),Tech!O44,"")</f>
      </c>
      <c r="Q157" s="133">
        <f>IF(AND(X44="b",Tech!P44&lt;&gt;""),Tech!P44,"")</f>
      </c>
      <c r="R157" s="133">
        <f>IF(AND(X44="b",Tech!Q44&lt;&gt;""),Tech!Q44,"")</f>
      </c>
      <c r="S157" s="133">
        <f>IF(AND(X44="b",Tech!R44&lt;&gt;""),Tech!R44,"")</f>
      </c>
      <c r="T157" s="133">
        <f>IF(AND(X44="b",Tech!S44&lt;&gt;""),Tech!S44,"")</f>
      </c>
      <c r="U157" s="19"/>
    </row>
    <row r="158" spans="8:21" ht="12.75">
      <c r="H158" s="150"/>
      <c r="I158" s="149" t="s">
        <v>34</v>
      </c>
      <c r="J158" s="133">
        <f>+IF(K158="","",(+ABS(IF(K158="",0,K158))+ABS(IF(L158="",0,L158))+ABS(IF(M158="",0,M158))+ABS(IF(N158="",0,N158))+ABS(IF(O158="",0,O158))+ABS(IF(P158="",0,P158))+ABS(IF(Q158="",0,Q158))+ABS(IF(R158="",0,R158))+ABS(IF(S158="",0,S158))+ABS(IF(T158="",0,T158)))/+COUNT(K158:T158))</f>
      </c>
      <c r="K158" s="133">
        <f>IF(X44="c",Tech!V44,"")</f>
      </c>
      <c r="L158" s="133">
        <f>IF(X44="c",Tech!W44,"")</f>
      </c>
      <c r="M158" s="133">
        <f>IF(AND(X44="c",Tech!X44&lt;&gt;""),Tech!X44,"")</f>
      </c>
      <c r="N158" s="133">
        <f>IF(AND(X44="c",Tech!Y44&lt;&gt;""),Tech!Y44,"")</f>
      </c>
      <c r="O158" s="133">
        <f>IF(AND(X44="c",Tech!Z44&lt;&gt;""),Tech!Z44,"")</f>
      </c>
      <c r="P158" s="133">
        <f>IF(AND(X44="c",Tech!AA44&lt;&gt;""),Tech!AA44,"")</f>
      </c>
      <c r="Q158" s="133">
        <f>IF(AND(X44="c",Tech!AB44&lt;&gt;""),Tech!AB44,"")</f>
      </c>
      <c r="R158" s="133">
        <f>IF(AND(X44="c",Tech!AC44&lt;&gt;""),Tech!AC44,"")</f>
      </c>
      <c r="S158" s="133">
        <f>IF(AND(X44="c",Tech!AD44&lt;&gt;""),Tech!AD44,"")</f>
      </c>
      <c r="T158" s="133">
        <f>IF(AND(X44="c",Tech!AE44&lt;&gt;""),Tech!AE44,"")</f>
      </c>
      <c r="U158" s="19"/>
    </row>
    <row r="159" spans="8:21" ht="12.75">
      <c r="H159" s="150"/>
      <c r="I159" s="149" t="s">
        <v>35</v>
      </c>
      <c r="J159" s="133">
        <f>+IF(K159="","",(+ABS(IF(K159="",0,K159))+ABS(IF(L159="",0,L159))+ABS(IF(M159="",0,M159))+ABS(IF(N159="",0,N159))+ABS(IF(O159="",0,O159))+ABS(IF(P159="",0,P159))+ABS(IF(Q159="",0,Q159))+ABS(IF(R159="",0,R159))+ABS(IF(S159="",0,S159))+ABS(IF(T159="",0,T159)))/+COUNT(K159:T159))</f>
      </c>
      <c r="K159" s="133">
        <f>IF(X44="c",Tech!AH44,"")</f>
      </c>
      <c r="L159" s="133">
        <f>IF(X44="c",Tech!AI44,"")</f>
      </c>
      <c r="M159" s="133">
        <f>IF(AND(X44="c",Tech!AJ44&lt;&gt;""),Tech!AJ44,"")</f>
      </c>
      <c r="N159" s="133">
        <f>IF(AND(X44="c",Tech!AK44&lt;&gt;""),Tech!AK44,"")</f>
      </c>
      <c r="O159" s="133">
        <f>IF(AND(X44="c",Tech!AL44&lt;&gt;""),Tech!AL44,"")</f>
      </c>
      <c r="P159" s="133">
        <f>IF(AND(X44="c",Tech!AM44&lt;&gt;""),Tech!AM44,"")</f>
      </c>
      <c r="Q159" s="133">
        <f>IF(AND(X44="c",Tech!AN44&lt;&gt;""),Tech!AN44,"")</f>
      </c>
      <c r="R159" s="133">
        <f>IF(AND(X44="c",Tech!AO44&lt;&gt;""),Tech!AO44,"")</f>
      </c>
      <c r="S159" s="133">
        <f>IF(AND(X44="c",Tech!AP44&lt;&gt;""),Tech!AP44,"")</f>
      </c>
      <c r="T159" s="133">
        <f>IF(AND(X44="c",Tech!AQ44&lt;&gt;""),Tech!AQ44,"")</f>
      </c>
      <c r="U159" s="19"/>
    </row>
    <row r="160" spans="8:21" ht="12.75">
      <c r="H160" s="150"/>
      <c r="I160" s="149" t="s">
        <v>33</v>
      </c>
      <c r="J160" s="133">
        <f>+IF(K160="","",(+ABS(IF(K160="",0,K160))+ABS(IF(L160="",0,L160))+ABS(IF(M160="",0,M160))+ABS(IF(N160="",0,N160))+ABS(IF(O160="",0,O160))+ABS(IF(P160="",0,P160))+ABS(IF(Q160="",0,Q160))+ABS(IF(R160="",0,R160))+ABS(IF(S160="",0,S160))+ABS(IF(T160="",0,T160)))/+COUNT(K160:T160))</f>
      </c>
      <c r="K160" s="133">
        <f>IF(X44="c",Tech!AT44,"")</f>
      </c>
      <c r="L160" s="133">
        <f>IF(X44="c",Tech!AU44,"")</f>
      </c>
      <c r="M160" s="133">
        <f>IF(AND(X44="c",Tech!AV44&lt;&gt;""),Tech!AV44,"")</f>
      </c>
      <c r="N160" s="133">
        <f>IF(AND(X44="c",Tech!AW44&lt;&gt;""),Tech!AW44,"")</f>
      </c>
      <c r="O160" s="133">
        <f>IF(AND(X44="c",Tech!AX44&lt;&gt;""),Tech!AX44,"")</f>
      </c>
      <c r="P160" s="133">
        <f>IF(AND(X44="c",Tech!AY44&lt;&gt;""),Tech!AY44,"")</f>
      </c>
      <c r="Q160" s="133">
        <f>IF(AND(X44="c",Tech!AZ44&lt;&gt;""),Tech!AZ44,"")</f>
      </c>
      <c r="R160" s="133">
        <f>IF(AND(X44="c",Tech!BA44&lt;&gt;""),Tech!BA44,"")</f>
      </c>
      <c r="S160" s="133">
        <f>IF(AND(X44="c",Tech!BB44&lt;&gt;""),Tech!BB44,"")</f>
      </c>
      <c r="T160" s="133">
        <f>IF(AND(X44="c",Tech!BC44&lt;&gt;""),Tech!BC44,"")</f>
      </c>
      <c r="U160" s="19"/>
    </row>
    <row r="161" spans="8:21" ht="12.75">
      <c r="H161" s="144">
        <f>IF(V45="","",V45)</f>
      </c>
      <c r="I161" s="145" t="s">
        <v>32</v>
      </c>
      <c r="J161" s="146" t="s">
        <v>36</v>
      </c>
      <c r="K161" s="133">
        <f>IF($X$45="","",$Y$45*K$15)</f>
      </c>
      <c r="L161" s="133">
        <f aca="true" t="shared" si="37" ref="L161:T161">IF(OR(L$15="",$X$45=""),"",$Y$45*L$15)</f>
      </c>
      <c r="M161" s="133">
        <f t="shared" si="37"/>
      </c>
      <c r="N161" s="133">
        <f t="shared" si="37"/>
      </c>
      <c r="O161" s="133">
        <f t="shared" si="37"/>
      </c>
      <c r="P161" s="133">
        <f t="shared" si="37"/>
      </c>
      <c r="Q161" s="133">
        <f t="shared" si="37"/>
      </c>
      <c r="R161" s="133">
        <f t="shared" si="37"/>
      </c>
      <c r="S161" s="133">
        <f t="shared" si="37"/>
      </c>
      <c r="T161" s="133">
        <f t="shared" si="37"/>
      </c>
      <c r="U161" s="19"/>
    </row>
    <row r="162" spans="8:21" ht="12.75">
      <c r="H162" s="150"/>
      <c r="I162" s="148" t="s">
        <v>29</v>
      </c>
      <c r="J162" s="133">
        <f>+IF(K162="","",(+ABS(IF(K162="",0,K162))+ABS(IF(L162="",0,L162))+ABS(IF(M162="",0,M162))+ABS(IF(N162="",0,N162))+ABS(IF(O162="",0,O162))+ABS(IF(P162="",0,P162))+ABS(IF(Q162="",0,Q162))+ABS(IF(R162="",0,R162))+ABS(IF(S162="",0,S162))+ABS(IF(T162="",0,T162)))/+COUNT(K162:T162))</f>
      </c>
      <c r="K162" s="133">
        <f>IF(X45="b",Tech!J45,"")</f>
      </c>
      <c r="L162" s="133">
        <f>IF(X45="b",Tech!K45,"")</f>
      </c>
      <c r="M162" s="133">
        <f>IF(AND(X45="b",Tech!L45&lt;&gt;""),Tech!L45,"")</f>
      </c>
      <c r="N162" s="133">
        <f>IF(AND(X45="b",Tech!M45&lt;&gt;""),Tech!M45,"")</f>
      </c>
      <c r="O162" s="133">
        <f>IF(AND(X45="b",Tech!N45&lt;&gt;""),Tech!N45,"")</f>
      </c>
      <c r="P162" s="133">
        <f>IF(AND(X45="b",Tech!O45&lt;&gt;""),Tech!O45,"")</f>
      </c>
      <c r="Q162" s="133">
        <f>IF(AND(X45="b",Tech!P45&lt;&gt;""),Tech!P45,"")</f>
      </c>
      <c r="R162" s="133">
        <f>IF(AND(X45="b",Tech!Q45&lt;&gt;""),Tech!Q45,"")</f>
      </c>
      <c r="S162" s="133">
        <f>IF(AND(X45="b",Tech!R45&lt;&gt;""),Tech!R45,"")</f>
      </c>
      <c r="T162" s="133">
        <f>IF(AND(X45="b",Tech!S45&lt;&gt;""),Tech!S45,"")</f>
      </c>
      <c r="U162" s="19"/>
    </row>
    <row r="163" spans="8:21" ht="12.75">
      <c r="H163" s="150"/>
      <c r="I163" s="149" t="s">
        <v>34</v>
      </c>
      <c r="J163" s="133">
        <f>+IF(K163="","",(+ABS(IF(K163="",0,K163))+ABS(IF(L163="",0,L163))+ABS(IF(M163="",0,M163))+ABS(IF(N163="",0,N163))+ABS(IF(O163="",0,O163))+ABS(IF(P163="",0,P163))+ABS(IF(Q163="",0,Q163))+ABS(IF(R163="",0,R163))+ABS(IF(S163="",0,S163))+ABS(IF(T163="",0,T163)))/+COUNT(K163:T163))</f>
      </c>
      <c r="K163" s="133">
        <f>IF(X45="c",Tech!V45,"")</f>
      </c>
      <c r="L163" s="133">
        <f>IF(X45="c",Tech!W45,"")</f>
      </c>
      <c r="M163" s="133">
        <f>IF(AND(X45="c",Tech!X45&lt;&gt;""),Tech!X45,"")</f>
      </c>
      <c r="N163" s="133">
        <f>IF(AND(X45="c",Tech!Y45&lt;&gt;""),Tech!Y45,"")</f>
      </c>
      <c r="O163" s="133">
        <f>IF(AND(X45="c",Tech!Z45&lt;&gt;""),Tech!Z45,"")</f>
      </c>
      <c r="P163" s="133">
        <f>IF(AND(X45="c",Tech!AA45&lt;&gt;""),Tech!AA45,"")</f>
      </c>
      <c r="Q163" s="133">
        <f>IF(AND(X45="c",Tech!AB45&lt;&gt;""),Tech!AB45,"")</f>
      </c>
      <c r="R163" s="133">
        <f>IF(AND(X45="c",Tech!AC45&lt;&gt;""),Tech!AC45,"")</f>
      </c>
      <c r="S163" s="133">
        <f>IF(AND(X45="c",Tech!AD45&lt;&gt;""),Tech!AD45,"")</f>
      </c>
      <c r="T163" s="133">
        <f>IF(AND(X45="c",Tech!AE45&lt;&gt;""),Tech!AE45,"")</f>
      </c>
      <c r="U163" s="19"/>
    </row>
    <row r="164" spans="8:21" ht="12.75">
      <c r="H164" s="150"/>
      <c r="I164" s="149" t="s">
        <v>35</v>
      </c>
      <c r="J164" s="133">
        <f>+IF(K164="","",(+ABS(IF(K164="",0,K164))+ABS(IF(L164="",0,L164))+ABS(IF(M164="",0,M164))+ABS(IF(N164="",0,N164))+ABS(IF(O164="",0,O164))+ABS(IF(P164="",0,P164))+ABS(IF(Q164="",0,Q164))+ABS(IF(R164="",0,R164))+ABS(IF(S164="",0,S164))+ABS(IF(T164="",0,T164)))/+COUNT(K164:T164))</f>
      </c>
      <c r="K164" s="133">
        <f>IF(X45="c",Tech!AH45,"")</f>
      </c>
      <c r="L164" s="133">
        <f>IF(X45="c",Tech!AI45,"")</f>
      </c>
      <c r="M164" s="133">
        <f>IF(AND(X45="c",Tech!AJ45&lt;&gt;""),Tech!AJ45,"")</f>
      </c>
      <c r="N164" s="133">
        <f>IF(AND(X45="c",Tech!AK45&lt;&gt;""),Tech!AK45,"")</f>
      </c>
      <c r="O164" s="133">
        <f>IF(AND(X45="c",Tech!AL45&lt;&gt;""),Tech!AL45,"")</f>
      </c>
      <c r="P164" s="133">
        <f>IF(AND(X45="c",Tech!AM45&lt;&gt;""),Tech!AM45,"")</f>
      </c>
      <c r="Q164" s="133">
        <f>IF(AND(X45="c",Tech!AN45&lt;&gt;""),Tech!AN45,"")</f>
      </c>
      <c r="R164" s="133">
        <f>IF(AND(X45="c",Tech!AO45&lt;&gt;""),Tech!AO45,"")</f>
      </c>
      <c r="S164" s="133">
        <f>IF(AND(X45="c",Tech!AP45&lt;&gt;""),Tech!AP45,"")</f>
      </c>
      <c r="T164" s="133">
        <f>IF(AND(X45="c",Tech!AQ45&lt;&gt;""),Tech!AQ45,"")</f>
      </c>
      <c r="U164" s="19"/>
    </row>
    <row r="165" spans="8:21" ht="12.75">
      <c r="H165" s="150"/>
      <c r="I165" s="149" t="s">
        <v>33</v>
      </c>
      <c r="J165" s="133">
        <f>+IF(K165="","",(+ABS(IF(K165="",0,K165))+ABS(IF(L165="",0,L165))+ABS(IF(M165="",0,M165))+ABS(IF(N165="",0,N165))+ABS(IF(O165="",0,O165))+ABS(IF(P165="",0,P165))+ABS(IF(Q165="",0,Q165))+ABS(IF(R165="",0,R165))+ABS(IF(S165="",0,S165))+ABS(IF(T165="",0,T165)))/+COUNT(K165:T165))</f>
      </c>
      <c r="K165" s="133">
        <f>IF(X45="c",Tech!AT45,"")</f>
      </c>
      <c r="L165" s="133">
        <f>IF(X45="c",Tech!AU45,"")</f>
      </c>
      <c r="M165" s="133">
        <f>IF(AND(X45="c",Tech!AV45&lt;&gt;""),Tech!AV45,"")</f>
      </c>
      <c r="N165" s="133">
        <f>IF(AND(X45="c",Tech!AW45&lt;&gt;""),Tech!AW45,"")</f>
      </c>
      <c r="O165" s="133">
        <f>IF(AND(X45="c",Tech!AX45&lt;&gt;""),Tech!AX45,"")</f>
      </c>
      <c r="P165" s="133">
        <f>IF(AND(X45="c",Tech!AY45&lt;&gt;""),Tech!AY45,"")</f>
      </c>
      <c r="Q165" s="133">
        <f>IF(AND(X45="c",Tech!AZ45&lt;&gt;""),Tech!AZ45,"")</f>
      </c>
      <c r="R165" s="133">
        <f>IF(AND(X45="c",Tech!BA45&lt;&gt;""),Tech!BA45,"")</f>
      </c>
      <c r="S165" s="133">
        <f>IF(AND(X45="c",Tech!BB45&lt;&gt;""),Tech!BB45,"")</f>
      </c>
      <c r="T165" s="133">
        <f>IF(AND(X45="c",Tech!BC45&lt;&gt;""),Tech!BC45,"")</f>
      </c>
      <c r="U165" s="19"/>
    </row>
    <row r="166" spans="8:21" ht="12.75">
      <c r="H166" s="144">
        <f>IF(V46="","",V46)</f>
      </c>
      <c r="I166" s="145" t="s">
        <v>32</v>
      </c>
      <c r="J166" s="146" t="s">
        <v>36</v>
      </c>
      <c r="K166" s="133">
        <f>IF($X$46="","",$Y$46*K$15)</f>
      </c>
      <c r="L166" s="133">
        <f aca="true" t="shared" si="38" ref="L166:T166">IF(OR(L$15="",$X$46=""),"",$Y$46*L$15)</f>
      </c>
      <c r="M166" s="133">
        <f t="shared" si="38"/>
      </c>
      <c r="N166" s="133">
        <f t="shared" si="38"/>
      </c>
      <c r="O166" s="133">
        <f t="shared" si="38"/>
      </c>
      <c r="P166" s="133">
        <f t="shared" si="38"/>
      </c>
      <c r="Q166" s="133">
        <f t="shared" si="38"/>
      </c>
      <c r="R166" s="133">
        <f t="shared" si="38"/>
      </c>
      <c r="S166" s="133">
        <f t="shared" si="38"/>
      </c>
      <c r="T166" s="133">
        <f t="shared" si="38"/>
      </c>
      <c r="U166" s="19"/>
    </row>
    <row r="167" spans="8:21" ht="12.75">
      <c r="H167" s="150"/>
      <c r="I167" s="148" t="s">
        <v>29</v>
      </c>
      <c r="J167" s="133">
        <f>+IF(K167="","",(+ABS(IF(K167="",0,K167))+ABS(IF(L167="",0,L167))+ABS(IF(M167="",0,M167))+ABS(IF(N167="",0,N167))+ABS(IF(O167="",0,O167))+ABS(IF(P167="",0,P167))+ABS(IF(Q167="",0,Q167))+ABS(IF(R167="",0,R167))+ABS(IF(S167="",0,S167))+ABS(IF(T167="",0,T167)))/+COUNT(K167:T167))</f>
      </c>
      <c r="K167" s="133">
        <f>IF(X46="b",Tech!J46,"")</f>
      </c>
      <c r="L167" s="133">
        <f>IF(X46="b",Tech!K46,"")</f>
      </c>
      <c r="M167" s="133">
        <f>IF(AND(X46="b",Tech!L46&lt;&gt;""),Tech!L46,"")</f>
      </c>
      <c r="N167" s="133">
        <f>IF(AND(X46="b",Tech!M46&lt;&gt;""),Tech!M46,"")</f>
      </c>
      <c r="O167" s="133">
        <f>IF(AND(X46="b",Tech!N46&lt;&gt;""),Tech!N46,"")</f>
      </c>
      <c r="P167" s="133">
        <f>IF(AND(X46="b",Tech!O46&lt;&gt;""),Tech!O46,"")</f>
      </c>
      <c r="Q167" s="133">
        <f>IF(AND(X46="b",Tech!P46&lt;&gt;""),Tech!P46,"")</f>
      </c>
      <c r="R167" s="133">
        <f>IF(AND(X46="b",Tech!Q46&lt;&gt;""),Tech!Q46,"")</f>
      </c>
      <c r="S167" s="133">
        <f>IF(AND(X46="b",Tech!R46&lt;&gt;""),Tech!R46,"")</f>
      </c>
      <c r="T167" s="133">
        <f>IF(AND(X46="b",Tech!S46&lt;&gt;""),Tech!S46,"")</f>
      </c>
      <c r="U167" s="19"/>
    </row>
    <row r="168" spans="8:21" ht="12.75">
      <c r="H168" s="150"/>
      <c r="I168" s="149" t="s">
        <v>34</v>
      </c>
      <c r="J168" s="133">
        <f>+IF(K168="","",(+ABS(IF(K168="",0,K168))+ABS(IF(L168="",0,L168))+ABS(IF(M168="",0,M168))+ABS(IF(N168="",0,N168))+ABS(IF(O168="",0,O168))+ABS(IF(P168="",0,P168))+ABS(IF(Q168="",0,Q168))+ABS(IF(R168="",0,R168))+ABS(IF(S168="",0,S168))+ABS(IF(T168="",0,T168)))/+COUNT(K168:T168))</f>
      </c>
      <c r="K168" s="133">
        <f>IF(X46="c",Tech!V46,"")</f>
      </c>
      <c r="L168" s="133">
        <f>IF(X46="c",Tech!W46,"")</f>
      </c>
      <c r="M168" s="133">
        <f>IF(AND(X46="c",Tech!X46&lt;&gt;""),Tech!X46,"")</f>
      </c>
      <c r="N168" s="133">
        <f>IF(AND(X46="c",Tech!Y46&lt;&gt;""),Tech!Y46,"")</f>
      </c>
      <c r="O168" s="133">
        <f>IF(AND(X46="c",Tech!Z46&lt;&gt;""),Tech!Z46,"")</f>
      </c>
      <c r="P168" s="133">
        <f>IF(AND(X46="c",Tech!AA46&lt;&gt;""),Tech!AA46,"")</f>
      </c>
      <c r="Q168" s="133">
        <f>IF(AND(X46="c",Tech!AB46&lt;&gt;""),Tech!AB46,"")</f>
      </c>
      <c r="R168" s="133">
        <f>IF(AND(X46="c",Tech!AC46&lt;&gt;""),Tech!AC46,"")</f>
      </c>
      <c r="S168" s="133">
        <f>IF(AND(X46="c",Tech!AD46&lt;&gt;""),Tech!AD46,"")</f>
      </c>
      <c r="T168" s="133">
        <f>IF(AND(X46="c",Tech!AE46&lt;&gt;""),Tech!AE46,"")</f>
      </c>
      <c r="U168" s="19"/>
    </row>
    <row r="169" spans="8:21" ht="12.75">
      <c r="H169" s="150"/>
      <c r="I169" s="149" t="s">
        <v>35</v>
      </c>
      <c r="J169" s="133">
        <f>+IF(K169="","",(+ABS(IF(K169="",0,K169))+ABS(IF(L169="",0,L169))+ABS(IF(M169="",0,M169))+ABS(IF(N169="",0,N169))+ABS(IF(O169="",0,O169))+ABS(IF(P169="",0,P169))+ABS(IF(Q169="",0,Q169))+ABS(IF(R169="",0,R169))+ABS(IF(S169="",0,S169))+ABS(IF(T169="",0,T169)))/+COUNT(K169:T169))</f>
      </c>
      <c r="K169" s="133">
        <f>IF(X46="c",Tech!AH46,"")</f>
      </c>
      <c r="L169" s="133">
        <f>IF(X46="c",Tech!AI46,"")</f>
      </c>
      <c r="M169" s="133">
        <f>IF(AND(X46="c",Tech!AJ46&lt;&gt;""),Tech!AJ46,"")</f>
      </c>
      <c r="N169" s="133">
        <f>IF(AND(X46="c",Tech!AK46&lt;&gt;""),Tech!AK46,"")</f>
      </c>
      <c r="O169" s="133">
        <f>IF(AND(X46="c",Tech!AL46&lt;&gt;""),Tech!AL46,"")</f>
      </c>
      <c r="P169" s="133">
        <f>IF(AND(X46="c",Tech!AM46&lt;&gt;""),Tech!AM46,"")</f>
      </c>
      <c r="Q169" s="133">
        <f>IF(AND(X46="c",Tech!AN46&lt;&gt;""),Tech!AN46,"")</f>
      </c>
      <c r="R169" s="133">
        <f>IF(AND(X46="c",Tech!AO46&lt;&gt;""),Tech!AO46,"")</f>
      </c>
      <c r="S169" s="133">
        <f>IF(AND(X46="c",Tech!AP46&lt;&gt;""),Tech!AP46,"")</f>
      </c>
      <c r="T169" s="133">
        <f>IF(AND(X46="c",Tech!AQ46&lt;&gt;""),Tech!AQ46,"")</f>
      </c>
      <c r="U169" s="19"/>
    </row>
    <row r="170" spans="8:21" ht="12.75">
      <c r="H170" s="150"/>
      <c r="I170" s="149" t="s">
        <v>33</v>
      </c>
      <c r="J170" s="133">
        <f>+IF(K170="","",(+ABS(IF(K170="",0,K170))+ABS(IF(L170="",0,L170))+ABS(IF(M170="",0,M170))+ABS(IF(N170="",0,N170))+ABS(IF(O170="",0,O170))+ABS(IF(P170="",0,P170))+ABS(IF(Q170="",0,Q170))+ABS(IF(R170="",0,R170))+ABS(IF(S170="",0,S170))+ABS(IF(T170="",0,T170)))/+COUNT(K170:T170))</f>
      </c>
      <c r="K170" s="133">
        <f>IF(X46="c",Tech!AT46,"")</f>
      </c>
      <c r="L170" s="133">
        <f>IF(X46="c",Tech!AU46,"")</f>
      </c>
      <c r="M170" s="133">
        <f>IF(AND(X46="c",Tech!AV46&lt;&gt;""),Tech!AV46,"")</f>
      </c>
      <c r="N170" s="133">
        <f>IF(AND(X46="c",Tech!AW46&lt;&gt;""),Tech!AW46,"")</f>
      </c>
      <c r="O170" s="133">
        <f>IF(AND(X46="c",Tech!AX46&lt;&gt;""),Tech!AX46,"")</f>
      </c>
      <c r="P170" s="133">
        <f>IF(AND(X46="c",Tech!AY46&lt;&gt;""),Tech!AY46,"")</f>
      </c>
      <c r="Q170" s="133">
        <f>IF(AND(X46="c",Tech!AZ46&lt;&gt;""),Tech!AZ46,"")</f>
      </c>
      <c r="R170" s="133">
        <f>IF(AND(X46="c",Tech!BA46&lt;&gt;""),Tech!BA46,"")</f>
      </c>
      <c r="S170" s="133">
        <f>IF(AND(X46="c",Tech!BB46&lt;&gt;""),Tech!BB46,"")</f>
      </c>
      <c r="T170" s="133">
        <f>IF(AND(X46="c",Tech!BC46&lt;&gt;""),Tech!BC46,"")</f>
      </c>
      <c r="U170" s="19"/>
    </row>
    <row r="171" spans="8:21" ht="12.75">
      <c r="H171" s="144">
        <f>IF(V47="","",V47)</f>
      </c>
      <c r="I171" s="145" t="s">
        <v>32</v>
      </c>
      <c r="J171" s="146" t="s">
        <v>36</v>
      </c>
      <c r="K171" s="133">
        <f>IF($X$47="","",$Y$47*K$15)</f>
      </c>
      <c r="L171" s="133">
        <f aca="true" t="shared" si="39" ref="L171:T171">IF(OR(L$15="",$X$47=""),"",$Y$47*L$15)</f>
      </c>
      <c r="M171" s="133">
        <f t="shared" si="39"/>
      </c>
      <c r="N171" s="133">
        <f t="shared" si="39"/>
      </c>
      <c r="O171" s="133">
        <f t="shared" si="39"/>
      </c>
      <c r="P171" s="133">
        <f t="shared" si="39"/>
      </c>
      <c r="Q171" s="133">
        <f t="shared" si="39"/>
      </c>
      <c r="R171" s="133">
        <f t="shared" si="39"/>
      </c>
      <c r="S171" s="133">
        <f t="shared" si="39"/>
      </c>
      <c r="T171" s="133">
        <f t="shared" si="39"/>
      </c>
      <c r="U171" s="19"/>
    </row>
    <row r="172" spans="8:21" ht="12.75">
      <c r="H172" s="150"/>
      <c r="I172" s="148" t="s">
        <v>29</v>
      </c>
      <c r="J172" s="133">
        <f>+IF(K172="","",(+ABS(IF(K172="",0,K172))+ABS(IF(L172="",0,L172))+ABS(IF(M172="",0,M172))+ABS(IF(N172="",0,N172))+ABS(IF(O172="",0,O172))+ABS(IF(P172="",0,P172))+ABS(IF(Q172="",0,Q172))+ABS(IF(R172="",0,R172))+ABS(IF(S172="",0,S172))+ABS(IF(T172="",0,T172)))/+COUNT(K172:T172))</f>
      </c>
      <c r="K172" s="133">
        <f>IF(X47="b",Tech!J47,"")</f>
      </c>
      <c r="L172" s="133">
        <f>IF(X47="b",Tech!K47,"")</f>
      </c>
      <c r="M172" s="133">
        <f>IF(AND(X47="b",Tech!L47&lt;&gt;""),Tech!L47,"")</f>
      </c>
      <c r="N172" s="133">
        <f>IF(AND(X47="b",Tech!M47&lt;&gt;""),Tech!M47,"")</f>
      </c>
      <c r="O172" s="133">
        <f>IF(AND(X47="b",Tech!N47&lt;&gt;""),Tech!N47,"")</f>
      </c>
      <c r="P172" s="133">
        <f>IF(AND(X47="b",Tech!O47&lt;&gt;""),Tech!O47,"")</f>
      </c>
      <c r="Q172" s="133">
        <f>IF(AND(X47="b",Tech!P47&lt;&gt;""),Tech!P47,"")</f>
      </c>
      <c r="R172" s="133">
        <f>IF(AND(X47="b",Tech!Q47&lt;&gt;""),Tech!Q47,"")</f>
      </c>
      <c r="S172" s="133">
        <f>IF(AND(X47="b",Tech!R47&lt;&gt;""),Tech!R47,"")</f>
      </c>
      <c r="T172" s="133">
        <f>IF(AND(X47="b",Tech!S47&lt;&gt;""),Tech!S47,"")</f>
      </c>
      <c r="U172" s="19"/>
    </row>
    <row r="173" spans="8:21" ht="12.75">
      <c r="H173" s="150"/>
      <c r="I173" s="149" t="s">
        <v>34</v>
      </c>
      <c r="J173" s="133">
        <f>+IF(K173="","",(+ABS(IF(K173="",0,K173))+ABS(IF(L173="",0,L173))+ABS(IF(M173="",0,M173))+ABS(IF(N173="",0,N173))+ABS(IF(O173="",0,O173))+ABS(IF(P173="",0,P173))+ABS(IF(Q173="",0,Q173))+ABS(IF(R173="",0,R173))+ABS(IF(S173="",0,S173))+ABS(IF(T173="",0,T173)))/+COUNT(K173:T173))</f>
      </c>
      <c r="K173" s="133">
        <f>IF(X47="c",Tech!V47,"")</f>
      </c>
      <c r="L173" s="133">
        <f>IF(X47="c",Tech!W47,"")</f>
      </c>
      <c r="M173" s="133">
        <f>IF(AND(X47="c",Tech!X47&lt;&gt;""),Tech!X47,"")</f>
      </c>
      <c r="N173" s="133">
        <f>IF(AND(X47="c",Tech!Y47&lt;&gt;""),Tech!Y47,"")</f>
      </c>
      <c r="O173" s="133">
        <f>IF(AND(X47="c",Tech!Z47&lt;&gt;""),Tech!Z47,"")</f>
      </c>
      <c r="P173" s="133">
        <f>IF(AND(X47="c",Tech!AA47&lt;&gt;""),Tech!AA47,"")</f>
      </c>
      <c r="Q173" s="133">
        <f>IF(AND(X47="c",Tech!AB47&lt;&gt;""),Tech!AB47,"")</f>
      </c>
      <c r="R173" s="133">
        <f>IF(AND(X47="c",Tech!AC47&lt;&gt;""),Tech!AC47,"")</f>
      </c>
      <c r="S173" s="133">
        <f>IF(AND(X47="c",Tech!AD47&lt;&gt;""),Tech!AD47,"")</f>
      </c>
      <c r="T173" s="133">
        <f>IF(AND(X47="c",Tech!AE47&lt;&gt;""),Tech!AE47,"")</f>
      </c>
      <c r="U173" s="19"/>
    </row>
    <row r="174" spans="8:21" ht="12.75">
      <c r="H174" s="150"/>
      <c r="I174" s="149" t="s">
        <v>35</v>
      </c>
      <c r="J174" s="133">
        <f>+IF(K174="","",(+ABS(IF(K174="",0,K174))+ABS(IF(L174="",0,L174))+ABS(IF(M174="",0,M174))+ABS(IF(N174="",0,N174))+ABS(IF(O174="",0,O174))+ABS(IF(P174="",0,P174))+ABS(IF(Q174="",0,Q174))+ABS(IF(R174="",0,R174))+ABS(IF(S174="",0,S174))+ABS(IF(T174="",0,T174)))/+COUNT(K174:T174))</f>
      </c>
      <c r="K174" s="133">
        <f>IF(X47="c",Tech!AH47,"")</f>
      </c>
      <c r="L174" s="133">
        <f>IF(X47="c",Tech!AI47,"")</f>
      </c>
      <c r="M174" s="133">
        <f>IF(AND(X47="c",Tech!AJ47&lt;&gt;""),Tech!AJ47,"")</f>
      </c>
      <c r="N174" s="133">
        <f>IF(AND(X47="c",Tech!AK47&lt;&gt;""),Tech!AK47,"")</f>
      </c>
      <c r="O174" s="133">
        <f>IF(AND(X47="c",Tech!AL47&lt;&gt;""),Tech!AL47,"")</f>
      </c>
      <c r="P174" s="133">
        <f>IF(AND(X47="c",Tech!AM47&lt;&gt;""),Tech!AM47,"")</f>
      </c>
      <c r="Q174" s="133">
        <f>IF(AND(X47="c",Tech!AN47&lt;&gt;""),Tech!AN47,"")</f>
      </c>
      <c r="R174" s="133">
        <f>IF(AND(X47="c",Tech!AO47&lt;&gt;""),Tech!AO47,"")</f>
      </c>
      <c r="S174" s="133">
        <f>IF(AND(X47="c",Tech!AP47&lt;&gt;""),Tech!AP47,"")</f>
      </c>
      <c r="T174" s="133">
        <f>IF(AND(X47="c",Tech!AQ47&lt;&gt;""),Tech!AQ47,"")</f>
      </c>
      <c r="U174" s="19"/>
    </row>
    <row r="175" spans="8:21" ht="12.75">
      <c r="H175" s="150"/>
      <c r="I175" s="149" t="s">
        <v>33</v>
      </c>
      <c r="J175" s="133">
        <f>+IF(K175="","",(+ABS(IF(K175="",0,K175))+ABS(IF(L175="",0,L175))+ABS(IF(M175="",0,M175))+ABS(IF(N175="",0,N175))+ABS(IF(O175="",0,O175))+ABS(IF(P175="",0,P175))+ABS(IF(Q175="",0,Q175))+ABS(IF(R175="",0,R175))+ABS(IF(S175="",0,S175))+ABS(IF(T175="",0,T175)))/+COUNT(K175:T175))</f>
      </c>
      <c r="K175" s="133">
        <f>IF(X47="c",Tech!AT47,"")</f>
      </c>
      <c r="L175" s="133">
        <f>IF(X47="c",Tech!AU47,"")</f>
      </c>
      <c r="M175" s="133">
        <f>IF(AND(X47="c",Tech!AV47&lt;&gt;""),Tech!AV47,"")</f>
      </c>
      <c r="N175" s="133">
        <f>IF(AND(X47="c",Tech!AW47&lt;&gt;""),Tech!AW47,"")</f>
      </c>
      <c r="O175" s="133">
        <f>IF(AND(X47="c",Tech!AX47&lt;&gt;""),Tech!AX47,"")</f>
      </c>
      <c r="P175" s="133">
        <f>IF(AND(X47="c",Tech!AY47&lt;&gt;""),Tech!AY47,"")</f>
      </c>
      <c r="Q175" s="133">
        <f>IF(AND(X47="c",Tech!AZ47&lt;&gt;""),Tech!AZ47,"")</f>
      </c>
      <c r="R175" s="133">
        <f>IF(AND(X47="c",Tech!BA47&lt;&gt;""),Tech!BA47,"")</f>
      </c>
      <c r="S175" s="133">
        <f>IF(AND(X47="c",Tech!BB47&lt;&gt;""),Tech!BB47,"")</f>
      </c>
      <c r="T175" s="133">
        <f>IF(AND(X47="c",Tech!BC47&lt;&gt;""),Tech!BC47,"")</f>
      </c>
      <c r="U175" s="19"/>
    </row>
    <row r="176" spans="8:21" ht="12.75">
      <c r="H176" s="144">
        <f>IF(V48="","",V48)</f>
      </c>
      <c r="I176" s="145" t="s">
        <v>32</v>
      </c>
      <c r="J176" s="146" t="s">
        <v>36</v>
      </c>
      <c r="K176" s="133">
        <f>IF($X$48="","",$Y$48*K$15)</f>
      </c>
      <c r="L176" s="133">
        <f aca="true" t="shared" si="40" ref="L176:T176">IF(OR(L$15="",$X$48=""),"",$Y$48*L$15)</f>
      </c>
      <c r="M176" s="133">
        <f t="shared" si="40"/>
      </c>
      <c r="N176" s="133">
        <f t="shared" si="40"/>
      </c>
      <c r="O176" s="133">
        <f t="shared" si="40"/>
      </c>
      <c r="P176" s="133">
        <f t="shared" si="40"/>
      </c>
      <c r="Q176" s="133">
        <f t="shared" si="40"/>
      </c>
      <c r="R176" s="133">
        <f t="shared" si="40"/>
      </c>
      <c r="S176" s="133">
        <f t="shared" si="40"/>
      </c>
      <c r="T176" s="133">
        <f t="shared" si="40"/>
      </c>
      <c r="U176" s="19"/>
    </row>
    <row r="177" spans="8:21" ht="12.75">
      <c r="H177" s="150"/>
      <c r="I177" s="148" t="s">
        <v>29</v>
      </c>
      <c r="J177" s="133">
        <f>+IF(K177="","",(+ABS(IF(K177="",0,K177))+ABS(IF(L177="",0,L177))+ABS(IF(M177="",0,M177))+ABS(IF(N177="",0,N177))+ABS(IF(O177="",0,O177))+ABS(IF(P177="",0,P177))+ABS(IF(Q177="",0,Q177))+ABS(IF(R177="",0,R177))+ABS(IF(S177="",0,S177))+ABS(IF(T177="",0,T177)))/+COUNT(K177:T177))</f>
      </c>
      <c r="K177" s="133">
        <f>IF(X48="b",Tech!J48,"")</f>
      </c>
      <c r="L177" s="133">
        <f>IF(X48="b",Tech!K48,"")</f>
      </c>
      <c r="M177" s="133">
        <f>IF(AND(X48="b",Tech!L48&lt;&gt;""),Tech!L48,"")</f>
      </c>
      <c r="N177" s="133">
        <f>IF(AND(X48="b",Tech!M48&lt;&gt;""),Tech!M48,"")</f>
      </c>
      <c r="O177" s="133">
        <f>IF(AND(X48="b",Tech!N48&lt;&gt;""),Tech!N48,"")</f>
      </c>
      <c r="P177" s="133">
        <f>IF(AND(X48="b",Tech!O48&lt;&gt;""),Tech!O48,"")</f>
      </c>
      <c r="Q177" s="133">
        <f>IF(AND(X48="b",Tech!P48&lt;&gt;""),Tech!P48,"")</f>
      </c>
      <c r="R177" s="133">
        <f>IF(AND(X48="b",Tech!Q48&lt;&gt;""),Tech!Q48,"")</f>
      </c>
      <c r="S177" s="133">
        <f>IF(AND(X48="b",Tech!R48&lt;&gt;""),Tech!R48,"")</f>
      </c>
      <c r="T177" s="133">
        <f>IF(AND(X48="b",Tech!S48&lt;&gt;""),Tech!S48,"")</f>
      </c>
      <c r="U177" s="19"/>
    </row>
    <row r="178" spans="8:21" ht="12.75">
      <c r="H178" s="150"/>
      <c r="I178" s="149" t="s">
        <v>34</v>
      </c>
      <c r="J178" s="133">
        <f>+IF(K178="","",(+ABS(IF(K178="",0,K178))+ABS(IF(L178="",0,L178))+ABS(IF(M178="",0,M178))+ABS(IF(N178="",0,N178))+ABS(IF(O178="",0,O178))+ABS(IF(P178="",0,P178))+ABS(IF(Q178="",0,Q178))+ABS(IF(R178="",0,R178))+ABS(IF(S178="",0,S178))+ABS(IF(T178="",0,T178)))/+COUNT(K178:T178))</f>
      </c>
      <c r="K178" s="133">
        <f>IF(X48="c",Tech!V48,"")</f>
      </c>
      <c r="L178" s="133">
        <f>IF(X48="c",Tech!W48,"")</f>
      </c>
      <c r="M178" s="133">
        <f>IF(AND(X48="c",Tech!X48&lt;&gt;""),Tech!X48,"")</f>
      </c>
      <c r="N178" s="133">
        <f>IF(AND(X48="c",Tech!Y48&lt;&gt;""),Tech!Y48,"")</f>
      </c>
      <c r="O178" s="133">
        <f>IF(AND(X48="c",Tech!Z48&lt;&gt;""),Tech!Z48,"")</f>
      </c>
      <c r="P178" s="133">
        <f>IF(AND(X48="c",Tech!AA48&lt;&gt;""),Tech!AA48,"")</f>
      </c>
      <c r="Q178" s="133">
        <f>IF(AND(X48="c",Tech!AB48&lt;&gt;""),Tech!AB48,"")</f>
      </c>
      <c r="R178" s="133">
        <f>IF(AND(X48="c",Tech!AC48&lt;&gt;""),Tech!AC48,"")</f>
      </c>
      <c r="S178" s="133">
        <f>IF(AND(X48="c",Tech!AD48&lt;&gt;""),Tech!AD48,"")</f>
      </c>
      <c r="T178" s="133">
        <f>IF(AND(X48="c",Tech!AE48&lt;&gt;""),Tech!AE48,"")</f>
      </c>
      <c r="U178" s="19"/>
    </row>
    <row r="179" spans="8:21" ht="12.75">
      <c r="H179" s="150"/>
      <c r="I179" s="149" t="s">
        <v>35</v>
      </c>
      <c r="J179" s="133">
        <f>+IF(K179="","",(+ABS(IF(K179="",0,K179))+ABS(IF(L179="",0,L179))+ABS(IF(M179="",0,M179))+ABS(IF(N179="",0,N179))+ABS(IF(O179="",0,O179))+ABS(IF(P179="",0,P179))+ABS(IF(Q179="",0,Q179))+ABS(IF(R179="",0,R179))+ABS(IF(S179="",0,S179))+ABS(IF(T179="",0,T179)))/+COUNT(K179:T179))</f>
      </c>
      <c r="K179" s="133">
        <f>IF(X48="c",Tech!AH48,"")</f>
      </c>
      <c r="L179" s="133">
        <f>IF(X48="c",Tech!AI48,"")</f>
      </c>
      <c r="M179" s="133">
        <f>IF(AND(X48="c",Tech!AJ48&lt;&gt;""),Tech!AJ48,"")</f>
      </c>
      <c r="N179" s="133">
        <f>IF(AND(X48="c",Tech!AK48&lt;&gt;""),Tech!AK48,"")</f>
      </c>
      <c r="O179" s="133">
        <f>IF(AND(X48="c",Tech!AL48&lt;&gt;""),Tech!AL48,"")</f>
      </c>
      <c r="P179" s="133">
        <f>IF(AND(X48="c",Tech!AM48&lt;&gt;""),Tech!AM48,"")</f>
      </c>
      <c r="Q179" s="133">
        <f>IF(AND(X48="c",Tech!AN48&lt;&gt;""),Tech!AN48,"")</f>
      </c>
      <c r="R179" s="133">
        <f>IF(AND(X48="c",Tech!AO48&lt;&gt;""),Tech!AO48,"")</f>
      </c>
      <c r="S179" s="133">
        <f>IF(AND(X48="c",Tech!AP48&lt;&gt;""),Tech!AP48,"")</f>
      </c>
      <c r="T179" s="133">
        <f>IF(AND(X48="c",Tech!AQ48&lt;&gt;""),Tech!AQ48,"")</f>
      </c>
      <c r="U179" s="19"/>
    </row>
    <row r="180" spans="8:21" ht="12.75">
      <c r="H180" s="150"/>
      <c r="I180" s="149" t="s">
        <v>33</v>
      </c>
      <c r="J180" s="133">
        <f>+IF(K180="","",(+ABS(IF(K180="",0,K180))+ABS(IF(L180="",0,L180))+ABS(IF(M180="",0,M180))+ABS(IF(N180="",0,N180))+ABS(IF(O180="",0,O180))+ABS(IF(P180="",0,P180))+ABS(IF(Q180="",0,Q180))+ABS(IF(R180="",0,R180))+ABS(IF(S180="",0,S180))+ABS(IF(T180="",0,T180)))/+COUNT(K180:T180))</f>
      </c>
      <c r="K180" s="133">
        <f>IF(X48="c",Tech!AT48,"")</f>
      </c>
      <c r="L180" s="133">
        <f>IF(X48="c",Tech!AU48,"")</f>
      </c>
      <c r="M180" s="133">
        <f>IF(AND(X48="c",Tech!AV48&lt;&gt;""),Tech!AV48,"")</f>
      </c>
      <c r="N180" s="133">
        <f>IF(AND(X48="c",Tech!AW48&lt;&gt;""),Tech!AW48,"")</f>
      </c>
      <c r="O180" s="133">
        <f>IF(AND(X48="c",Tech!AX48&lt;&gt;""),Tech!AX48,"")</f>
      </c>
      <c r="P180" s="133">
        <f>IF(AND(X48="c",Tech!AY48&lt;&gt;""),Tech!AY48,"")</f>
      </c>
      <c r="Q180" s="133">
        <f>IF(AND(X48="c",Tech!AZ48&lt;&gt;""),Tech!AZ48,"")</f>
      </c>
      <c r="R180" s="133">
        <f>IF(AND(X48="c",Tech!BA48&lt;&gt;""),Tech!BA48,"")</f>
      </c>
      <c r="S180" s="133">
        <f>IF(AND(X48="c",Tech!BB48&lt;&gt;""),Tech!BB48,"")</f>
      </c>
      <c r="T180" s="133">
        <f>IF(AND(X48="c",Tech!BC48&lt;&gt;""),Tech!BC48,"")</f>
      </c>
      <c r="U180" s="19"/>
    </row>
    <row r="181" spans="8:21" ht="12.75">
      <c r="H181" s="144">
        <f>IF(V49="","",V49)</f>
      </c>
      <c r="I181" s="145" t="s">
        <v>32</v>
      </c>
      <c r="J181" s="146" t="s">
        <v>36</v>
      </c>
      <c r="K181" s="133">
        <f>IF($X$49="","",$Y$49*K$15)</f>
      </c>
      <c r="L181" s="133">
        <f aca="true" t="shared" si="41" ref="L181:T181">IF(OR(L$15="",$X$49=""),"",$Y$49*L$15)</f>
      </c>
      <c r="M181" s="133">
        <f t="shared" si="41"/>
      </c>
      <c r="N181" s="133">
        <f t="shared" si="41"/>
      </c>
      <c r="O181" s="133">
        <f t="shared" si="41"/>
      </c>
      <c r="P181" s="133">
        <f t="shared" si="41"/>
      </c>
      <c r="Q181" s="133">
        <f t="shared" si="41"/>
      </c>
      <c r="R181" s="133">
        <f t="shared" si="41"/>
      </c>
      <c r="S181" s="133">
        <f t="shared" si="41"/>
      </c>
      <c r="T181" s="133">
        <f t="shared" si="41"/>
      </c>
      <c r="U181" s="19"/>
    </row>
    <row r="182" spans="8:21" ht="12.75">
      <c r="H182" s="150"/>
      <c r="I182" s="148" t="s">
        <v>29</v>
      </c>
      <c r="J182" s="133">
        <f>+IF(K182="","",(+ABS(IF(K182="",0,K182))+ABS(IF(L182="",0,L182))+ABS(IF(M182="",0,M182))+ABS(IF(N182="",0,N182))+ABS(IF(O182="",0,O182))+ABS(IF(P182="",0,P182))+ABS(IF(Q182="",0,Q182))+ABS(IF(R182="",0,R182))+ABS(IF(S182="",0,S182))+ABS(IF(T182="",0,T182)))/+COUNT(K182:T182))</f>
      </c>
      <c r="K182" s="133">
        <f>IF(X49="b",Tech!J49,"")</f>
      </c>
      <c r="L182" s="133">
        <f>IF(X49="b",Tech!K49,"")</f>
      </c>
      <c r="M182" s="133">
        <f>IF(AND(X49="b",Tech!L49&lt;&gt;""),Tech!L49,"")</f>
      </c>
      <c r="N182" s="133">
        <f>IF(AND(X49="b",Tech!M49&lt;&gt;""),Tech!M49,"")</f>
      </c>
      <c r="O182" s="133">
        <f>IF(AND(X49="b",Tech!N49&lt;&gt;""),Tech!N49,"")</f>
      </c>
      <c r="P182" s="133">
        <f>IF(AND(X49="b",Tech!O49&lt;&gt;""),Tech!O49,"")</f>
      </c>
      <c r="Q182" s="133">
        <f>IF(AND(X49="b",Tech!P49&lt;&gt;""),Tech!P49,"")</f>
      </c>
      <c r="R182" s="133">
        <f>IF(AND(X49="b",Tech!Q49&lt;&gt;""),Tech!Q49,"")</f>
      </c>
      <c r="S182" s="133">
        <f>IF(AND(X49="b",Tech!R49&lt;&gt;""),Tech!R49,"")</f>
      </c>
      <c r="T182" s="133">
        <f>IF(AND(X49="b",Tech!S49&lt;&gt;""),Tech!S49,"")</f>
      </c>
      <c r="U182" s="19"/>
    </row>
    <row r="183" spans="8:21" ht="12.75">
      <c r="H183" s="150"/>
      <c r="I183" s="149" t="s">
        <v>34</v>
      </c>
      <c r="J183" s="133">
        <f>+IF(K183="","",(+ABS(IF(K183="",0,K183))+ABS(IF(L183="",0,L183))+ABS(IF(M183="",0,M183))+ABS(IF(N183="",0,N183))+ABS(IF(O183="",0,O183))+ABS(IF(P183="",0,P183))+ABS(IF(Q183="",0,Q183))+ABS(IF(R183="",0,R183))+ABS(IF(S183="",0,S183))+ABS(IF(T183="",0,T183)))/+COUNT(K183:T183))</f>
      </c>
      <c r="K183" s="133">
        <f>IF(X49="c",Tech!V49,"")</f>
      </c>
      <c r="L183" s="133">
        <f>IF(X49="c",Tech!W49,"")</f>
      </c>
      <c r="M183" s="133">
        <f>IF(AND(X49="c",Tech!X49&lt;&gt;""),Tech!X49,"")</f>
      </c>
      <c r="N183" s="133">
        <f>IF(AND(X49="c",Tech!Y49&lt;&gt;""),Tech!Y49,"")</f>
      </c>
      <c r="O183" s="133">
        <f>IF(AND(X49="c",Tech!Z49&lt;&gt;""),Tech!Z49,"")</f>
      </c>
      <c r="P183" s="133">
        <f>IF(AND(X49="c",Tech!AA49&lt;&gt;""),Tech!AA49,"")</f>
      </c>
      <c r="Q183" s="133">
        <f>IF(AND(X49="c",Tech!AB49&lt;&gt;""),Tech!AB49,"")</f>
      </c>
      <c r="R183" s="133">
        <f>IF(AND(X49="c",Tech!AC49&lt;&gt;""),Tech!AC49,"")</f>
      </c>
      <c r="S183" s="133">
        <f>IF(AND(X49="c",Tech!AD49&lt;&gt;""),Tech!AD49,"")</f>
      </c>
      <c r="T183" s="133">
        <f>IF(AND(X49="c",Tech!AE49&lt;&gt;""),Tech!AE49,"")</f>
      </c>
      <c r="U183" s="19"/>
    </row>
    <row r="184" spans="8:21" ht="12.75">
      <c r="H184" s="150"/>
      <c r="I184" s="149" t="s">
        <v>35</v>
      </c>
      <c r="J184" s="133">
        <f>+IF(K184="","",(+ABS(IF(K184="",0,K184))+ABS(IF(L184="",0,L184))+ABS(IF(M184="",0,M184))+ABS(IF(N184="",0,N184))+ABS(IF(O184="",0,O184))+ABS(IF(P184="",0,P184))+ABS(IF(Q184="",0,Q184))+ABS(IF(R184="",0,R184))+ABS(IF(S184="",0,S184))+ABS(IF(T184="",0,T184)))/+COUNT(K184:T184))</f>
      </c>
      <c r="K184" s="133">
        <f>IF(X49="c",Tech!AH49,"")</f>
      </c>
      <c r="L184" s="133">
        <f>IF(X49="c",Tech!AI49,"")</f>
      </c>
      <c r="M184" s="133">
        <f>IF(AND(X49="c",Tech!AJ49&lt;&gt;""),Tech!AJ49,"")</f>
      </c>
      <c r="N184" s="133">
        <f>IF(AND(X49="c",Tech!AK49&lt;&gt;""),Tech!AK49,"")</f>
      </c>
      <c r="O184" s="133">
        <f>IF(AND(X49="c",Tech!AL49&lt;&gt;""),Tech!AL49,"")</f>
      </c>
      <c r="P184" s="133">
        <f>IF(AND(X49="c",Tech!AM49&lt;&gt;""),Tech!AM49,"")</f>
      </c>
      <c r="Q184" s="133">
        <f>IF(AND(X49="c",Tech!AN49&lt;&gt;""),Tech!AN49,"")</f>
      </c>
      <c r="R184" s="133">
        <f>IF(AND(X49="c",Tech!AO49&lt;&gt;""),Tech!AO49,"")</f>
      </c>
      <c r="S184" s="133">
        <f>IF(AND(X49="c",Tech!AP49&lt;&gt;""),Tech!AP49,"")</f>
      </c>
      <c r="T184" s="133">
        <f>IF(AND(X49="c",Tech!AQ49&lt;&gt;""),Tech!AQ49,"")</f>
      </c>
      <c r="U184" s="19"/>
    </row>
    <row r="185" spans="8:21" ht="12.75">
      <c r="H185" s="150"/>
      <c r="I185" s="149" t="s">
        <v>33</v>
      </c>
      <c r="J185" s="133">
        <f>+IF(K185="","",(+ABS(IF(K185="",0,K185))+ABS(IF(L185="",0,L185))+ABS(IF(M185="",0,M185))+ABS(IF(N185="",0,N185))+ABS(IF(O185="",0,O185))+ABS(IF(P185="",0,P185))+ABS(IF(Q185="",0,Q185))+ABS(IF(R185="",0,R185))+ABS(IF(S185="",0,S185))+ABS(IF(T185="",0,T185)))/+COUNT(K185:T185))</f>
      </c>
      <c r="K185" s="133">
        <f>IF(X49="c",Tech!AT49,"")</f>
      </c>
      <c r="L185" s="133">
        <f>IF(X49="c",Tech!AU49,"")</f>
      </c>
      <c r="M185" s="133">
        <f>IF(AND(X49="c",Tech!AV49&lt;&gt;""),Tech!AV49,"")</f>
      </c>
      <c r="N185" s="133">
        <f>IF(AND(X49="c",Tech!AW49&lt;&gt;""),Tech!AW49,"")</f>
      </c>
      <c r="O185" s="133">
        <f>IF(AND(X49="c",Tech!AX49&lt;&gt;""),Tech!AX49,"")</f>
      </c>
      <c r="P185" s="133">
        <f>IF(AND(X49="c",Tech!AY49&lt;&gt;""),Tech!AY49,"")</f>
      </c>
      <c r="Q185" s="133">
        <f>IF(AND(X49="c",Tech!AZ49&lt;&gt;""),Tech!AZ49,"")</f>
      </c>
      <c r="R185" s="133">
        <f>IF(AND(X49="c",Tech!BA49&lt;&gt;""),Tech!BA49,"")</f>
      </c>
      <c r="S185" s="133">
        <f>IF(AND(X49="c",Tech!BB49&lt;&gt;""),Tech!BB49,"")</f>
      </c>
      <c r="T185" s="133">
        <f>IF(AND(X49="c",Tech!BC49&lt;&gt;""),Tech!BC49,"")</f>
      </c>
      <c r="U185" s="19"/>
    </row>
    <row r="186" spans="8:21" ht="12.75">
      <c r="H186" s="144">
        <f>IF(V50="","",V50)</f>
      </c>
      <c r="I186" s="145" t="s">
        <v>32</v>
      </c>
      <c r="J186" s="146" t="s">
        <v>36</v>
      </c>
      <c r="K186" s="133">
        <f>IF($X$50="","",$Y$50*K$15)</f>
      </c>
      <c r="L186" s="133">
        <f aca="true" t="shared" si="42" ref="L186:T186">IF(OR(L$15="",$X$50=""),"",$Y$50*L$15)</f>
      </c>
      <c r="M186" s="133">
        <f t="shared" si="42"/>
      </c>
      <c r="N186" s="133">
        <f t="shared" si="42"/>
      </c>
      <c r="O186" s="133">
        <f t="shared" si="42"/>
      </c>
      <c r="P186" s="133">
        <f t="shared" si="42"/>
      </c>
      <c r="Q186" s="133">
        <f t="shared" si="42"/>
      </c>
      <c r="R186" s="133">
        <f t="shared" si="42"/>
      </c>
      <c r="S186" s="133">
        <f t="shared" si="42"/>
      </c>
      <c r="T186" s="133">
        <f t="shared" si="42"/>
      </c>
      <c r="U186" s="19"/>
    </row>
    <row r="187" spans="8:21" ht="12.75">
      <c r="H187" s="150"/>
      <c r="I187" s="148" t="s">
        <v>29</v>
      </c>
      <c r="J187" s="133">
        <f>+IF(K187="","",(+ABS(IF(K187="",0,K187))+ABS(IF(L187="",0,L187))+ABS(IF(M187="",0,M187))+ABS(IF(N187="",0,N187))+ABS(IF(O187="",0,O187))+ABS(IF(P187="",0,P187))+ABS(IF(Q187="",0,Q187))+ABS(IF(R187="",0,R187))+ABS(IF(S187="",0,S187))+ABS(IF(T187="",0,T187)))/+COUNT(K187:T187))</f>
      </c>
      <c r="K187" s="133">
        <f>IF(X50="b",Tech!J50,"")</f>
      </c>
      <c r="L187" s="133">
        <f>IF(X50="b",Tech!K50,"")</f>
      </c>
      <c r="M187" s="133">
        <f>IF(AND(X50="b",Tech!L50&lt;&gt;""),Tech!L50,"")</f>
      </c>
      <c r="N187" s="133">
        <f>IF(AND(X50="b",Tech!M50&lt;&gt;""),Tech!M50,"")</f>
      </c>
      <c r="O187" s="133">
        <f>IF(AND(X50="b",Tech!N50&lt;&gt;""),Tech!N50,"")</f>
      </c>
      <c r="P187" s="133">
        <f>IF(AND(X50="b",Tech!O50&lt;&gt;""),Tech!O50,"")</f>
      </c>
      <c r="Q187" s="133">
        <f>IF(AND(X50="b",Tech!P50&lt;&gt;""),Tech!P50,"")</f>
      </c>
      <c r="R187" s="133">
        <f>IF(AND(X50="b",Tech!Q50&lt;&gt;""),Tech!Q50,"")</f>
      </c>
      <c r="S187" s="133">
        <f>IF(AND(X50="b",Tech!R50&lt;&gt;""),Tech!R50,"")</f>
      </c>
      <c r="T187" s="133">
        <f>IF(AND(X50="b",Tech!S50&lt;&gt;""),Tech!S50,"")</f>
      </c>
      <c r="U187" s="19"/>
    </row>
    <row r="188" spans="8:21" ht="12.75">
      <c r="H188" s="150"/>
      <c r="I188" s="149" t="s">
        <v>34</v>
      </c>
      <c r="J188" s="133">
        <f>+IF(K188="","",(+ABS(IF(K188="",0,K188))+ABS(IF(L188="",0,L188))+ABS(IF(M188="",0,M188))+ABS(IF(N188="",0,N188))+ABS(IF(O188="",0,O188))+ABS(IF(P188="",0,P188))+ABS(IF(Q188="",0,Q188))+ABS(IF(R188="",0,R188))+ABS(IF(S188="",0,S188))+ABS(IF(T188="",0,T188)))/+COUNT(K188:T188))</f>
      </c>
      <c r="K188" s="133">
        <f>IF(X50="c",Tech!V50,"")</f>
      </c>
      <c r="L188" s="133">
        <f>IF(X50="c",Tech!W50,"")</f>
      </c>
      <c r="M188" s="133">
        <f>IF(AND(X50="c",Tech!X50&lt;&gt;""),Tech!X50,"")</f>
      </c>
      <c r="N188" s="133">
        <f>IF(AND(X50="c",Tech!Y50&lt;&gt;""),Tech!Y50,"")</f>
      </c>
      <c r="O188" s="133">
        <f>IF(AND(X50="c",Tech!Z50&lt;&gt;""),Tech!Z50,"")</f>
      </c>
      <c r="P188" s="133">
        <f>IF(AND(X50="c",Tech!AA50&lt;&gt;""),Tech!AA50,"")</f>
      </c>
      <c r="Q188" s="133">
        <f>IF(AND(X50="c",Tech!AB50&lt;&gt;""),Tech!AB50,"")</f>
      </c>
      <c r="R188" s="133">
        <f>IF(AND(X50="c",Tech!AC50&lt;&gt;""),Tech!AC50,"")</f>
      </c>
      <c r="S188" s="133">
        <f>IF(AND(X50="c",Tech!AD50&lt;&gt;""),Tech!AD50,"")</f>
      </c>
      <c r="T188" s="133">
        <f>IF(AND(X50="c",Tech!AE50&lt;&gt;""),Tech!AE50,"")</f>
      </c>
      <c r="U188" s="19"/>
    </row>
    <row r="189" spans="8:21" ht="12.75">
      <c r="H189" s="150"/>
      <c r="I189" s="149" t="s">
        <v>35</v>
      </c>
      <c r="J189" s="133">
        <f>+IF(K189="","",(+ABS(IF(K189="",0,K189))+ABS(IF(L189="",0,L189))+ABS(IF(M189="",0,M189))+ABS(IF(N189="",0,N189))+ABS(IF(O189="",0,O189))+ABS(IF(P189="",0,P189))+ABS(IF(Q189="",0,Q189))+ABS(IF(R189="",0,R189))+ABS(IF(S189="",0,S189))+ABS(IF(T189="",0,T189)))/+COUNT(K189:T189))</f>
      </c>
      <c r="K189" s="133">
        <f>IF(X50="c",Tech!AH50,"")</f>
      </c>
      <c r="L189" s="133">
        <f>IF(X50="c",Tech!AI50,"")</f>
      </c>
      <c r="M189" s="133">
        <f>IF(AND(X50="c",Tech!AJ50&lt;&gt;""),Tech!AJ50,"")</f>
      </c>
      <c r="N189" s="133">
        <f>IF(AND(X50="c",Tech!AK50&lt;&gt;""),Tech!AK50,"")</f>
      </c>
      <c r="O189" s="133">
        <f>IF(AND(X50="c",Tech!AL50&lt;&gt;""),Tech!AL50,"")</f>
      </c>
      <c r="P189" s="133">
        <f>IF(AND(X50="c",Tech!AM50&lt;&gt;""),Tech!AM50,"")</f>
      </c>
      <c r="Q189" s="133">
        <f>IF(AND(X50="c",Tech!AN50&lt;&gt;""),Tech!AN50,"")</f>
      </c>
      <c r="R189" s="133">
        <f>IF(AND(X50="c",Tech!AO50&lt;&gt;""),Tech!AO50,"")</f>
      </c>
      <c r="S189" s="133">
        <f>IF(AND(X50="c",Tech!AP50&lt;&gt;""),Tech!AP50,"")</f>
      </c>
      <c r="T189" s="133">
        <f>IF(AND(X50="c",Tech!AQ50&lt;&gt;""),Tech!AQ50,"")</f>
      </c>
      <c r="U189" s="19"/>
    </row>
    <row r="190" spans="8:21" ht="12.75">
      <c r="H190" s="150"/>
      <c r="I190" s="149" t="s">
        <v>33</v>
      </c>
      <c r="J190" s="133">
        <f>+IF(K190="","",(+ABS(IF(K190="",0,K190))+ABS(IF(L190="",0,L190))+ABS(IF(M190="",0,M190))+ABS(IF(N190="",0,N190))+ABS(IF(O190="",0,O190))+ABS(IF(P190="",0,P190))+ABS(IF(Q190="",0,Q190))+ABS(IF(R190="",0,R190))+ABS(IF(S190="",0,S190))+ABS(IF(T190="",0,T190)))/+COUNT(K190:T190))</f>
      </c>
      <c r="K190" s="133">
        <f>IF(X50="c",Tech!AT50,"")</f>
      </c>
      <c r="L190" s="133">
        <f>IF(X50="c",Tech!AU50,"")</f>
      </c>
      <c r="M190" s="133">
        <f>IF(AND(X50="c",Tech!AV50&lt;&gt;""),Tech!AV50,"")</f>
      </c>
      <c r="N190" s="133">
        <f>IF(AND(X50="c",Tech!AW50&lt;&gt;""),Tech!AW50,"")</f>
      </c>
      <c r="O190" s="133">
        <f>IF(AND(X50="c",Tech!AX50&lt;&gt;""),Tech!AX50,"")</f>
      </c>
      <c r="P190" s="133">
        <f>IF(AND(X50="c",Tech!AY50&lt;&gt;""),Tech!AY50,"")</f>
      </c>
      <c r="Q190" s="133">
        <f>IF(AND(X50="c",Tech!AZ50&lt;&gt;""),Tech!AZ50,"")</f>
      </c>
      <c r="R190" s="133">
        <f>IF(AND(X50="c",Tech!BA50&lt;&gt;""),Tech!BA50,"")</f>
      </c>
      <c r="S190" s="133">
        <f>IF(AND(X50="c",Tech!BB50&lt;&gt;""),Tech!BB50,"")</f>
      </c>
      <c r="T190" s="133">
        <f>IF(AND(X50="c",Tech!BC50&lt;&gt;""),Tech!BC50,"")</f>
      </c>
      <c r="U190" s="19"/>
    </row>
    <row r="191" spans="8:21" ht="12.75">
      <c r="H191" s="144">
        <f>IF(V51="","",V51)</f>
      </c>
      <c r="I191" s="145" t="s">
        <v>32</v>
      </c>
      <c r="J191" s="146" t="s">
        <v>36</v>
      </c>
      <c r="K191" s="133">
        <f>IF($X$51="","",$Y$51*K$15)</f>
      </c>
      <c r="L191" s="133">
        <f aca="true" t="shared" si="43" ref="L191:T191">IF(OR(L$15="",$X$51=""),"",$Y$51*L$15)</f>
      </c>
      <c r="M191" s="133">
        <f t="shared" si="43"/>
      </c>
      <c r="N191" s="133">
        <f t="shared" si="43"/>
      </c>
      <c r="O191" s="133">
        <f t="shared" si="43"/>
      </c>
      <c r="P191" s="133">
        <f t="shared" si="43"/>
      </c>
      <c r="Q191" s="133">
        <f t="shared" si="43"/>
      </c>
      <c r="R191" s="133">
        <f t="shared" si="43"/>
      </c>
      <c r="S191" s="133">
        <f t="shared" si="43"/>
      </c>
      <c r="T191" s="133">
        <f t="shared" si="43"/>
      </c>
      <c r="U191" s="19"/>
    </row>
    <row r="192" spans="8:21" ht="12.75">
      <c r="H192" s="150"/>
      <c r="I192" s="148" t="s">
        <v>29</v>
      </c>
      <c r="J192" s="133">
        <f>+IF(K192="","",(+ABS(IF(K192="",0,K192))+ABS(IF(L192="",0,L192))+ABS(IF(M192="",0,M192))+ABS(IF(N192="",0,N192))+ABS(IF(O192="",0,O192))+ABS(IF(P192="",0,P192))+ABS(IF(Q192="",0,Q192))+ABS(IF(R192="",0,R192))+ABS(IF(S192="",0,S192))+ABS(IF(T192="",0,T192)))/+COUNT(K192:T192))</f>
      </c>
      <c r="K192" s="133">
        <f>IF(X51="b",Tech!J51,"")</f>
      </c>
      <c r="L192" s="133">
        <f>IF(X51="b",Tech!K51,"")</f>
      </c>
      <c r="M192" s="133">
        <f>IF(AND(X51="b",Tech!L51&lt;&gt;""),Tech!L51,"")</f>
      </c>
      <c r="N192" s="133">
        <f>IF(AND(X51="b",Tech!M51&lt;&gt;""),Tech!M51,"")</f>
      </c>
      <c r="O192" s="133">
        <f>IF(AND(X51="b",Tech!N51&lt;&gt;""),Tech!N51,"")</f>
      </c>
      <c r="P192" s="133">
        <f>IF(AND(X51="b",Tech!O51&lt;&gt;""),Tech!O51,"")</f>
      </c>
      <c r="Q192" s="133">
        <f>IF(AND(X51="b",Tech!P51&lt;&gt;""),Tech!P51,"")</f>
      </c>
      <c r="R192" s="133">
        <f>IF(AND(X51="b",Tech!Q51&lt;&gt;""),Tech!Q51,"")</f>
      </c>
      <c r="S192" s="133">
        <f>IF(AND(X51="b",Tech!R51&lt;&gt;""),Tech!R51,"")</f>
      </c>
      <c r="T192" s="133">
        <f>IF(AND(X51="b",Tech!S51&lt;&gt;""),Tech!S51,"")</f>
      </c>
      <c r="U192" s="19"/>
    </row>
    <row r="193" spans="8:21" ht="12.75">
      <c r="H193" s="150"/>
      <c r="I193" s="149" t="s">
        <v>34</v>
      </c>
      <c r="J193" s="133">
        <f>+IF(K193="","",(+ABS(IF(K193="",0,K193))+ABS(IF(L193="",0,L193))+ABS(IF(M193="",0,M193))+ABS(IF(N193="",0,N193))+ABS(IF(O193="",0,O193))+ABS(IF(P193="",0,P193))+ABS(IF(Q193="",0,Q193))+ABS(IF(R193="",0,R193))+ABS(IF(S193="",0,S193))+ABS(IF(T193="",0,T193)))/+COUNT(K193:T193))</f>
      </c>
      <c r="K193" s="133">
        <f>IF(X51="c",Tech!V51,"")</f>
      </c>
      <c r="L193" s="133">
        <f>IF(X51="c",Tech!W51,"")</f>
      </c>
      <c r="M193" s="133">
        <f>IF(AND(X51="c",Tech!X51&lt;&gt;""),Tech!X51,"")</f>
      </c>
      <c r="N193" s="133">
        <f>IF(AND(X51="c",Tech!Y51&lt;&gt;""),Tech!Y51,"")</f>
      </c>
      <c r="O193" s="133">
        <f>IF(AND(X51="c",Tech!Z51&lt;&gt;""),Tech!Z51,"")</f>
      </c>
      <c r="P193" s="133">
        <f>IF(AND(X51="c",Tech!AA51&lt;&gt;""),Tech!AA51,"")</f>
      </c>
      <c r="Q193" s="133">
        <f>IF(AND(X51="c",Tech!AB51&lt;&gt;""),Tech!AB51,"")</f>
      </c>
      <c r="R193" s="133">
        <f>IF(AND(X51="c",Tech!AC51&lt;&gt;""),Tech!AC51,"")</f>
      </c>
      <c r="S193" s="133">
        <f>IF(AND(X51="c",Tech!AD51&lt;&gt;""),Tech!AD51,"")</f>
      </c>
      <c r="T193" s="133">
        <f>IF(AND(X51="c",Tech!AE51&lt;&gt;""),Tech!AE51,"")</f>
      </c>
      <c r="U193" s="19"/>
    </row>
    <row r="194" spans="8:21" ht="12.75">
      <c r="H194" s="150"/>
      <c r="I194" s="149" t="s">
        <v>35</v>
      </c>
      <c r="J194" s="133">
        <f>+IF(K194="","",(+ABS(IF(K194="",0,K194))+ABS(IF(L194="",0,L194))+ABS(IF(M194="",0,M194))+ABS(IF(N194="",0,N194))+ABS(IF(O194="",0,O194))+ABS(IF(P194="",0,P194))+ABS(IF(Q194="",0,Q194))+ABS(IF(R194="",0,R194))+ABS(IF(S194="",0,S194))+ABS(IF(T194="",0,T194)))/+COUNT(K194:T194))</f>
      </c>
      <c r="K194" s="133">
        <f>IF(X51="c",Tech!AH51,"")</f>
      </c>
      <c r="L194" s="133">
        <f>IF(X51="c",Tech!AI51,"")</f>
      </c>
      <c r="M194" s="133">
        <f>IF(AND(X51="c",Tech!AJ51&lt;&gt;""),Tech!AJ51,"")</f>
      </c>
      <c r="N194" s="133">
        <f>IF(AND(X51="c",Tech!AK51&lt;&gt;""),Tech!AK51,"")</f>
      </c>
      <c r="O194" s="133">
        <f>IF(AND(X51="c",Tech!AL51&lt;&gt;""),Tech!AL51,"")</f>
      </c>
      <c r="P194" s="133">
        <f>IF(AND(X51="c",Tech!AM51&lt;&gt;""),Tech!AM51,"")</f>
      </c>
      <c r="Q194" s="133">
        <f>IF(AND(X51="c",Tech!AN51&lt;&gt;""),Tech!AN51,"")</f>
      </c>
      <c r="R194" s="133">
        <f>IF(AND(X51="c",Tech!AO51&lt;&gt;""),Tech!AO51,"")</f>
      </c>
      <c r="S194" s="133">
        <f>IF(AND(X51="c",Tech!AP51&lt;&gt;""),Tech!AP51,"")</f>
      </c>
      <c r="T194" s="133">
        <f>IF(AND(X51="c",Tech!AQ51&lt;&gt;""),Tech!AQ51,"")</f>
      </c>
      <c r="U194" s="19"/>
    </row>
    <row r="195" spans="8:21" ht="12.75">
      <c r="H195" s="150"/>
      <c r="I195" s="149" t="s">
        <v>33</v>
      </c>
      <c r="J195" s="133">
        <f>+IF(K195="","",(+ABS(IF(K195="",0,K195))+ABS(IF(L195="",0,L195))+ABS(IF(M195="",0,M195))+ABS(IF(N195="",0,N195))+ABS(IF(O195="",0,O195))+ABS(IF(P195="",0,P195))+ABS(IF(Q195="",0,Q195))+ABS(IF(R195="",0,R195))+ABS(IF(S195="",0,S195))+ABS(IF(T195="",0,T195)))/+COUNT(K195:T195))</f>
      </c>
      <c r="K195" s="133">
        <f>IF(X51="c",Tech!AT51,"")</f>
      </c>
      <c r="L195" s="133">
        <f>IF(X51="c",Tech!AU51,"")</f>
      </c>
      <c r="M195" s="133">
        <f>IF(AND(X51="c",Tech!AV51&lt;&gt;""),Tech!AV51,"")</f>
      </c>
      <c r="N195" s="133">
        <f>IF(AND(X51="c",Tech!AW51&lt;&gt;""),Tech!AW51,"")</f>
      </c>
      <c r="O195" s="133">
        <f>IF(AND(X51="c",Tech!AX51&lt;&gt;""),Tech!AX51,"")</f>
      </c>
      <c r="P195" s="133">
        <f>IF(AND(X51="c",Tech!AY51&lt;&gt;""),Tech!AY51,"")</f>
      </c>
      <c r="Q195" s="133">
        <f>IF(AND(X51="c",Tech!AZ51&lt;&gt;""),Tech!AZ51,"")</f>
      </c>
      <c r="R195" s="133">
        <f>IF(AND(X51="c",Tech!BA51&lt;&gt;""),Tech!BA51,"")</f>
      </c>
      <c r="S195" s="133">
        <f>IF(AND(X51="c",Tech!BB51&lt;&gt;""),Tech!BB51,"")</f>
      </c>
      <c r="T195" s="133">
        <f>IF(AND(X51="c",Tech!BC51&lt;&gt;""),Tech!BC51,"")</f>
      </c>
      <c r="U195" s="19"/>
    </row>
    <row r="196" spans="8:21" ht="12.75">
      <c r="H196" s="144">
        <f>IF(V52="","",V52)</f>
      </c>
      <c r="I196" s="145" t="s">
        <v>32</v>
      </c>
      <c r="J196" s="146" t="s">
        <v>36</v>
      </c>
      <c r="K196" s="133">
        <f>IF($X$52="","",$Y$52*K$15)</f>
      </c>
      <c r="L196" s="133">
        <f aca="true" t="shared" si="44" ref="L196:T196">IF(OR(L$15="",$X$52=""),"",$Y$52*L$15)</f>
      </c>
      <c r="M196" s="133">
        <f t="shared" si="44"/>
      </c>
      <c r="N196" s="133">
        <f t="shared" si="44"/>
      </c>
      <c r="O196" s="133">
        <f t="shared" si="44"/>
      </c>
      <c r="P196" s="133">
        <f t="shared" si="44"/>
      </c>
      <c r="Q196" s="133">
        <f t="shared" si="44"/>
      </c>
      <c r="R196" s="133">
        <f t="shared" si="44"/>
      </c>
      <c r="S196" s="133">
        <f t="shared" si="44"/>
      </c>
      <c r="T196" s="133">
        <f t="shared" si="44"/>
      </c>
      <c r="U196" s="19"/>
    </row>
    <row r="197" spans="8:21" ht="12.75">
      <c r="H197" s="150"/>
      <c r="I197" s="148" t="s">
        <v>29</v>
      </c>
      <c r="J197" s="133">
        <f>+IF(K197="","",(+ABS(IF(K197="",0,K197))+ABS(IF(L197="",0,L197))+ABS(IF(M197="",0,M197))+ABS(IF(N197="",0,N197))+ABS(IF(O197="",0,O197))+ABS(IF(P197="",0,P197))+ABS(IF(Q197="",0,Q197))+ABS(IF(R197="",0,R197))+ABS(IF(S197="",0,S197))+ABS(IF(T197="",0,T197)))/+COUNT(K197:T197))</f>
      </c>
      <c r="K197" s="133">
        <f>IF(X52="b",Tech!J52,"")</f>
      </c>
      <c r="L197" s="133">
        <f>IF(X52="b",Tech!K52,"")</f>
      </c>
      <c r="M197" s="133">
        <f>IF(AND(X52="b",Tech!L52&lt;&gt;""),Tech!L52,"")</f>
      </c>
      <c r="N197" s="133">
        <f>IF(AND(X52="b",Tech!M52&lt;&gt;""),Tech!M52,"")</f>
      </c>
      <c r="O197" s="133">
        <f>IF(AND(X52="b",Tech!N52&lt;&gt;""),Tech!N52,"")</f>
      </c>
      <c r="P197" s="133">
        <f>IF(AND(X52="b",Tech!O52&lt;&gt;""),Tech!O52,"")</f>
      </c>
      <c r="Q197" s="133">
        <f>IF(AND(X52="b",Tech!P52&lt;&gt;""),Tech!P52,"")</f>
      </c>
      <c r="R197" s="133">
        <f>IF(AND(X52="b",Tech!Q52&lt;&gt;""),Tech!Q52,"")</f>
      </c>
      <c r="S197" s="133">
        <f>IF(AND(X52="b",Tech!R52&lt;&gt;""),Tech!R52,"")</f>
      </c>
      <c r="T197" s="133">
        <f>IF(AND(X52="b",Tech!S52&lt;&gt;""),Tech!S52,"")</f>
      </c>
      <c r="U197" s="19"/>
    </row>
    <row r="198" spans="8:21" ht="12.75">
      <c r="H198" s="150"/>
      <c r="I198" s="149" t="s">
        <v>34</v>
      </c>
      <c r="J198" s="133">
        <f>+IF(K198="","",(+ABS(IF(K198="",0,K198))+ABS(IF(L198="",0,L198))+ABS(IF(M198="",0,M198))+ABS(IF(N198="",0,N198))+ABS(IF(O198="",0,O198))+ABS(IF(P198="",0,P198))+ABS(IF(Q198="",0,Q198))+ABS(IF(R198="",0,R198))+ABS(IF(S198="",0,S198))+ABS(IF(T198="",0,T198)))/+COUNT(K198:T198))</f>
      </c>
      <c r="K198" s="133">
        <f>IF(X52="c",Tech!V52,"")</f>
      </c>
      <c r="L198" s="133">
        <f>IF(X52="c",Tech!W52,"")</f>
      </c>
      <c r="M198" s="133">
        <f>IF(AND(X52="c",Tech!X52&lt;&gt;""),Tech!X52,"")</f>
      </c>
      <c r="N198" s="133">
        <f>IF(AND(X52="c",Tech!Y52&lt;&gt;""),Tech!Y52,"")</f>
      </c>
      <c r="O198" s="133">
        <f>IF(AND(X52="c",Tech!Z52&lt;&gt;""),Tech!Z52,"")</f>
      </c>
      <c r="P198" s="133">
        <f>IF(AND(X52="c",Tech!AA52&lt;&gt;""),Tech!AA52,"")</f>
      </c>
      <c r="Q198" s="133">
        <f>IF(AND(X52="c",Tech!AB52&lt;&gt;""),Tech!AB52,"")</f>
      </c>
      <c r="R198" s="133">
        <f>IF(AND(X52="c",Tech!AC52&lt;&gt;""),Tech!AC52,"")</f>
      </c>
      <c r="S198" s="133">
        <f>IF(AND(X52="c",Tech!AD52&lt;&gt;""),Tech!AD52,"")</f>
      </c>
      <c r="T198" s="133">
        <f>IF(AND(X52="c",Tech!AE52&lt;&gt;""),Tech!AE52,"")</f>
      </c>
      <c r="U198" s="19"/>
    </row>
    <row r="199" spans="8:21" ht="12.75">
      <c r="H199" s="150"/>
      <c r="I199" s="149" t="s">
        <v>35</v>
      </c>
      <c r="J199" s="133">
        <f>+IF(K199="","",(+ABS(IF(K199="",0,K199))+ABS(IF(L199="",0,L199))+ABS(IF(M199="",0,M199))+ABS(IF(N199="",0,N199))+ABS(IF(O199="",0,O199))+ABS(IF(P199="",0,P199))+ABS(IF(Q199="",0,Q199))+ABS(IF(R199="",0,R199))+ABS(IF(S199="",0,S199))+ABS(IF(T199="",0,T199)))/+COUNT(K199:T199))</f>
      </c>
      <c r="K199" s="133">
        <f>IF(X52="c",Tech!AH52,"")</f>
      </c>
      <c r="L199" s="133">
        <f>IF(X52="c",Tech!AI52,"")</f>
      </c>
      <c r="M199" s="133">
        <f>IF(AND(X52="c",Tech!AJ52&lt;&gt;""),Tech!AJ52,"")</f>
      </c>
      <c r="N199" s="133">
        <f>IF(AND(X52="c",Tech!AK52&lt;&gt;""),Tech!AK52,"")</f>
      </c>
      <c r="O199" s="133">
        <f>IF(AND(X52="c",Tech!AL52&lt;&gt;""),Tech!AL52,"")</f>
      </c>
      <c r="P199" s="133">
        <f>IF(AND(X52="c",Tech!AM52&lt;&gt;""),Tech!AM52,"")</f>
      </c>
      <c r="Q199" s="133">
        <f>IF(AND(X52="c",Tech!AN52&lt;&gt;""),Tech!AN52,"")</f>
      </c>
      <c r="R199" s="133">
        <f>IF(AND(X52="c",Tech!AO52&lt;&gt;""),Tech!AO52,"")</f>
      </c>
      <c r="S199" s="133">
        <f>IF(AND(X52="c",Tech!AP52&lt;&gt;""),Tech!AP52,"")</f>
      </c>
      <c r="T199" s="133">
        <f>IF(AND(X52="c",Tech!AQ52&lt;&gt;""),Tech!AQ52,"")</f>
      </c>
      <c r="U199" s="19"/>
    </row>
    <row r="200" spans="8:21" ht="12.75">
      <c r="H200" s="150"/>
      <c r="I200" s="149" t="s">
        <v>33</v>
      </c>
      <c r="J200" s="133">
        <f>+IF(K200="","",(+ABS(IF(K200="",0,K200))+ABS(IF(L200="",0,L200))+ABS(IF(M200="",0,M200))+ABS(IF(N200="",0,N200))+ABS(IF(O200="",0,O200))+ABS(IF(P200="",0,P200))+ABS(IF(Q200="",0,Q200))+ABS(IF(R200="",0,R200))+ABS(IF(S200="",0,S200))+ABS(IF(T200="",0,T200)))/+COUNT(K200:T200))</f>
      </c>
      <c r="K200" s="133">
        <f>IF(X52="c",Tech!AT52,"")</f>
      </c>
      <c r="L200" s="133">
        <f>IF(X52="c",Tech!AU52,"")</f>
      </c>
      <c r="M200" s="133">
        <f>IF(AND(X52="c",Tech!AV52&lt;&gt;""),Tech!AV52,"")</f>
      </c>
      <c r="N200" s="133">
        <f>IF(AND(X52="c",Tech!AW52&lt;&gt;""),Tech!AW52,"")</f>
      </c>
      <c r="O200" s="133">
        <f>IF(AND(X52="c",Tech!AX52&lt;&gt;""),Tech!AX52,"")</f>
      </c>
      <c r="P200" s="133">
        <f>IF(AND(X52="c",Tech!AY52&lt;&gt;""),Tech!AY52,"")</f>
      </c>
      <c r="Q200" s="133">
        <f>IF(AND(X52="c",Tech!AZ52&lt;&gt;""),Tech!AZ52,"")</f>
      </c>
      <c r="R200" s="133">
        <f>IF(AND(X52="c",Tech!BA52&lt;&gt;""),Tech!BA52,"")</f>
      </c>
      <c r="S200" s="133">
        <f>IF(AND(X52="c",Tech!BB52&lt;&gt;""),Tech!BB52,"")</f>
      </c>
      <c r="T200" s="133">
        <f>IF(AND(X52="c",Tech!BC52&lt;&gt;""),Tech!BC52,"")</f>
      </c>
      <c r="U200" s="19"/>
    </row>
    <row r="201" spans="8:21" ht="12.75">
      <c r="H201" s="144">
        <f>IF(V53="","",V53)</f>
      </c>
      <c r="I201" s="145" t="s">
        <v>32</v>
      </c>
      <c r="J201" s="146" t="s">
        <v>36</v>
      </c>
      <c r="K201" s="133">
        <f>IF($X$53="","",$Y$53*K$15)</f>
      </c>
      <c r="L201" s="133">
        <f aca="true" t="shared" si="45" ref="L201:T201">IF(OR(L$15="",$X$53=""),"",$Y$53*L$15)</f>
      </c>
      <c r="M201" s="133">
        <f t="shared" si="45"/>
      </c>
      <c r="N201" s="133">
        <f t="shared" si="45"/>
      </c>
      <c r="O201" s="133">
        <f t="shared" si="45"/>
      </c>
      <c r="P201" s="133">
        <f t="shared" si="45"/>
      </c>
      <c r="Q201" s="133">
        <f t="shared" si="45"/>
      </c>
      <c r="R201" s="133">
        <f t="shared" si="45"/>
      </c>
      <c r="S201" s="133">
        <f t="shared" si="45"/>
      </c>
      <c r="T201" s="133">
        <f t="shared" si="45"/>
      </c>
      <c r="U201" s="19"/>
    </row>
    <row r="202" spans="8:21" ht="12.75">
      <c r="H202" s="150"/>
      <c r="I202" s="148" t="s">
        <v>29</v>
      </c>
      <c r="J202" s="133">
        <f>+IF(K202="","",(+ABS(IF(K202="",0,K202))+ABS(IF(L202="",0,L202))+ABS(IF(M202="",0,M202))+ABS(IF(N202="",0,N202))+ABS(IF(O202="",0,O202))+ABS(IF(P202="",0,P202))+ABS(IF(Q202="",0,Q202))+ABS(IF(R202="",0,R202))+ABS(IF(S202="",0,S202))+ABS(IF(T202="",0,T202)))/+COUNT(K202:T202))</f>
      </c>
      <c r="K202" s="133">
        <f>IF(X53="b",Tech!J53,"")</f>
      </c>
      <c r="L202" s="133">
        <f>IF(X53="b",Tech!K53,"")</f>
      </c>
      <c r="M202" s="133">
        <f>IF(AND(X53="b",Tech!L53&lt;&gt;""),Tech!L53,"")</f>
      </c>
      <c r="N202" s="133">
        <f>IF(AND(X53="b",Tech!M53&lt;&gt;""),Tech!M53,"")</f>
      </c>
      <c r="O202" s="133">
        <f>IF(AND(X53="b",Tech!N53&lt;&gt;""),Tech!N53,"")</f>
      </c>
      <c r="P202" s="133">
        <f>IF(AND(X53="b",Tech!O53&lt;&gt;""),Tech!O53,"")</f>
      </c>
      <c r="Q202" s="133">
        <f>IF(AND(X53="b",Tech!P53&lt;&gt;""),Tech!P53,"")</f>
      </c>
      <c r="R202" s="133">
        <f>IF(AND(X53="b",Tech!Q53&lt;&gt;""),Tech!Q53,"")</f>
      </c>
      <c r="S202" s="133">
        <f>IF(AND(X53="b",Tech!R53&lt;&gt;""),Tech!R53,"")</f>
      </c>
      <c r="T202" s="133">
        <f>IF(AND(X53="b",Tech!S53&lt;&gt;""),Tech!S53,"")</f>
      </c>
      <c r="U202" s="19"/>
    </row>
    <row r="203" spans="8:21" ht="12.75">
      <c r="H203" s="150"/>
      <c r="I203" s="149" t="s">
        <v>34</v>
      </c>
      <c r="J203" s="133">
        <f>+IF(K203="","",(+ABS(IF(K203="",0,K203))+ABS(IF(L203="",0,L203))+ABS(IF(M203="",0,M203))+ABS(IF(N203="",0,N203))+ABS(IF(O203="",0,O203))+ABS(IF(P203="",0,P203))+ABS(IF(Q203="",0,Q203))+ABS(IF(R203="",0,R203))+ABS(IF(S203="",0,S203))+ABS(IF(T203="",0,T203)))/+COUNT(K203:T203))</f>
      </c>
      <c r="K203" s="133">
        <f>IF(X53="c",Tech!V53,"")</f>
      </c>
      <c r="L203" s="133">
        <f>IF(X53="c",Tech!W53,"")</f>
      </c>
      <c r="M203" s="133">
        <f>IF(AND(X53="c",Tech!X53&lt;&gt;""),Tech!X53,"")</f>
      </c>
      <c r="N203" s="133">
        <f>IF(AND(X53="c",Tech!Y53&lt;&gt;""),Tech!Y53,"")</f>
      </c>
      <c r="O203" s="133">
        <f>IF(AND(X53="c",Tech!Z53&lt;&gt;""),Tech!Z53,"")</f>
      </c>
      <c r="P203" s="133">
        <f>IF(AND(X53="c",Tech!AA53&lt;&gt;""),Tech!AA53,"")</f>
      </c>
      <c r="Q203" s="133">
        <f>IF(AND(X53="c",Tech!AB53&lt;&gt;""),Tech!AB53,"")</f>
      </c>
      <c r="R203" s="133">
        <f>IF(AND(X53="c",Tech!AC53&lt;&gt;""),Tech!AC53,"")</f>
      </c>
      <c r="S203" s="133">
        <f>IF(AND(X53="c",Tech!AD53&lt;&gt;""),Tech!AD53,"")</f>
      </c>
      <c r="T203" s="133">
        <f>IF(AND(X53="c",Tech!AE53&lt;&gt;""),Tech!AE53,"")</f>
      </c>
      <c r="U203" s="19"/>
    </row>
    <row r="204" spans="8:21" ht="12.75">
      <c r="H204" s="150"/>
      <c r="I204" s="149" t="s">
        <v>35</v>
      </c>
      <c r="J204" s="133">
        <f>+IF(K204="","",(+ABS(IF(K204="",0,K204))+ABS(IF(L204="",0,L204))+ABS(IF(M204="",0,M204))+ABS(IF(N204="",0,N204))+ABS(IF(O204="",0,O204))+ABS(IF(P204="",0,P204))+ABS(IF(Q204="",0,Q204))+ABS(IF(R204="",0,R204))+ABS(IF(S204="",0,S204))+ABS(IF(T204="",0,T204)))/+COUNT(K204:T204))</f>
      </c>
      <c r="K204" s="133">
        <f>IF(X53="c",Tech!AH53,"")</f>
      </c>
      <c r="L204" s="133">
        <f>IF(X53="c",Tech!AI53,"")</f>
      </c>
      <c r="M204" s="133">
        <f>IF(AND(X53="c",Tech!AJ53&lt;&gt;""),Tech!AJ53,"")</f>
      </c>
      <c r="N204" s="133">
        <f>IF(AND(X53="c",Tech!AK53&lt;&gt;""),Tech!AK53,"")</f>
      </c>
      <c r="O204" s="133">
        <f>IF(AND(X53="c",Tech!AL53&lt;&gt;""),Tech!AL53,"")</f>
      </c>
      <c r="P204" s="133">
        <f>IF(AND(X53="c",Tech!AM53&lt;&gt;""),Tech!AM53,"")</f>
      </c>
      <c r="Q204" s="133">
        <f>IF(AND(X53="c",Tech!AN53&lt;&gt;""),Tech!AN53,"")</f>
      </c>
      <c r="R204" s="133">
        <f>IF(AND(X53="c",Tech!AO53&lt;&gt;""),Tech!AO53,"")</f>
      </c>
      <c r="S204" s="133">
        <f>IF(AND(X53="c",Tech!AP53&lt;&gt;""),Tech!AP53,"")</f>
      </c>
      <c r="T204" s="133">
        <f>IF(AND(X53="c",Tech!AQ53&lt;&gt;""),Tech!AQ53,"")</f>
      </c>
      <c r="U204" s="19"/>
    </row>
    <row r="205" spans="8:21" ht="12.75">
      <c r="H205" s="150"/>
      <c r="I205" s="149" t="s">
        <v>33</v>
      </c>
      <c r="J205" s="133">
        <f>+IF(K205="","",(+ABS(IF(K205="",0,K205))+ABS(IF(L205="",0,L205))+ABS(IF(M205="",0,M205))+ABS(IF(N205="",0,N205))+ABS(IF(O205="",0,O205))+ABS(IF(P205="",0,P205))+ABS(IF(Q205="",0,Q205))+ABS(IF(R205="",0,R205))+ABS(IF(S205="",0,S205))+ABS(IF(T205="",0,T205)))/+COUNT(K205:T205))</f>
      </c>
      <c r="K205" s="133">
        <f>IF(X53="c",Tech!AT53,"")</f>
      </c>
      <c r="L205" s="133">
        <f>IF(X53="c",Tech!AU53,"")</f>
      </c>
      <c r="M205" s="133">
        <f>IF(AND(X53="c",Tech!AV53&lt;&gt;""),Tech!AV53,"")</f>
      </c>
      <c r="N205" s="133">
        <f>IF(AND(X53="c",Tech!AW53&lt;&gt;""),Tech!AW53,"")</f>
      </c>
      <c r="O205" s="133">
        <f>IF(AND(X53="c",Tech!AX53&lt;&gt;""),Tech!AX53,"")</f>
      </c>
      <c r="P205" s="133">
        <f>IF(AND(X53="c",Tech!AY53&lt;&gt;""),Tech!AY53,"")</f>
      </c>
      <c r="Q205" s="133">
        <f>IF(AND(X53="c",Tech!AZ53&lt;&gt;""),Tech!AZ53,"")</f>
      </c>
      <c r="R205" s="133">
        <f>IF(AND(X53="c",Tech!BA53&lt;&gt;""),Tech!BA53,"")</f>
      </c>
      <c r="S205" s="133">
        <f>IF(AND(X53="c",Tech!BB53&lt;&gt;""),Tech!BB53,"")</f>
      </c>
      <c r="T205" s="133">
        <f>IF(AND(X53="c",Tech!BC53&lt;&gt;""),Tech!BC53,"")</f>
      </c>
      <c r="U205" s="19"/>
    </row>
    <row r="206" spans="8:21" ht="12.75">
      <c r="H206" s="144">
        <f>IF(V54="","",V54)</f>
      </c>
      <c r="I206" s="145" t="s">
        <v>32</v>
      </c>
      <c r="J206" s="146" t="s">
        <v>36</v>
      </c>
      <c r="K206" s="133">
        <f>IF($X$54="","",$Y$54*K$15)</f>
      </c>
      <c r="L206" s="133">
        <f aca="true" t="shared" si="46" ref="L206:T206">IF(OR(L$15="",$X$54=""),"",$Y$54*L$15)</f>
      </c>
      <c r="M206" s="133">
        <f t="shared" si="46"/>
      </c>
      <c r="N206" s="133">
        <f t="shared" si="46"/>
      </c>
      <c r="O206" s="133">
        <f t="shared" si="46"/>
      </c>
      <c r="P206" s="133">
        <f t="shared" si="46"/>
      </c>
      <c r="Q206" s="133">
        <f t="shared" si="46"/>
      </c>
      <c r="R206" s="133">
        <f t="shared" si="46"/>
      </c>
      <c r="S206" s="133">
        <f t="shared" si="46"/>
      </c>
      <c r="T206" s="133">
        <f t="shared" si="46"/>
      </c>
      <c r="U206" s="19"/>
    </row>
    <row r="207" spans="8:21" ht="12.75">
      <c r="H207" s="150"/>
      <c r="I207" s="148" t="s">
        <v>29</v>
      </c>
      <c r="J207" s="133">
        <f>+IF(K207="","",(+ABS(IF(K207="",0,K207))+ABS(IF(L207="",0,L207))+ABS(IF(M207="",0,M207))+ABS(IF(N207="",0,N207))+ABS(IF(O207="",0,O207))+ABS(IF(P207="",0,P207))+ABS(IF(Q207="",0,Q207))+ABS(IF(R207="",0,R207))+ABS(IF(S207="",0,S207))+ABS(IF(T207="",0,T207)))/+COUNT(K207:T207))</f>
      </c>
      <c r="K207" s="133">
        <f>IF(X$54="b",Tech!J$54,"")</f>
      </c>
      <c r="L207" s="133">
        <f>IF(X$54="b",Tech!K$54,"")</f>
      </c>
      <c r="M207" s="133">
        <f>IF(AND(X$54="b",Tech!L$54&lt;&gt;""),Tech!L$54,"")</f>
      </c>
      <c r="N207" s="133">
        <f>IF(AND(X$54="b",Tech!M$54&lt;&gt;""),Tech!M$54,"")</f>
      </c>
      <c r="O207" s="133">
        <f>IF(AND(X$54="b",Tech!N$54&lt;&gt;""),Tech!N$54,"")</f>
      </c>
      <c r="P207" s="133">
        <f>IF(AND(X$54="b",Tech!O$54&lt;&gt;""),Tech!O$54,"")</f>
      </c>
      <c r="Q207" s="133">
        <f>IF(AND(X$54="b",Tech!P$54&lt;&gt;""),Tech!P$54,"")</f>
      </c>
      <c r="R207" s="133">
        <f>IF(AND(X$54="b",Tech!Q$54&lt;&gt;""),Tech!Q$54,"")</f>
      </c>
      <c r="S207" s="133">
        <f>IF(AND(X$54="b",Tech!R$54&lt;&gt;""),Tech!R$54,"")</f>
      </c>
      <c r="T207" s="133">
        <f>IF(AND(X$54="b",Tech!S$54&lt;&gt;""),Tech!S$54,"")</f>
      </c>
      <c r="U207" s="19"/>
    </row>
    <row r="208" spans="8:21" ht="12.75">
      <c r="H208" s="150"/>
      <c r="I208" s="149" t="s">
        <v>34</v>
      </c>
      <c r="J208" s="133">
        <f>+IF(K208="","",(+ABS(IF(K208="",0,K208))+ABS(IF(L208="",0,L208))+ABS(IF(M208="",0,M208))+ABS(IF(N208="",0,N208))+ABS(IF(O208="",0,O208))+ABS(IF(P208="",0,P208))+ABS(IF(Q208="",0,Q208))+ABS(IF(R208="",0,R208))+ABS(IF(S208="",0,S208))+ABS(IF(T208="",0,T208)))/+COUNT(K208:T208))</f>
      </c>
      <c r="K208" s="133">
        <f>IF(X$54="c",Tech!V$54,"")</f>
      </c>
      <c r="L208" s="133">
        <f>IF(X$54="c",Tech!W$54,"")</f>
      </c>
      <c r="M208" s="133">
        <f>IF(AND(X$54="c",Tech!X$54&lt;&gt;""),Tech!X$54,"")</f>
      </c>
      <c r="N208" s="133">
        <f>IF(AND(X$54="c",Tech!Y$54&lt;&gt;""),Tech!Y$54,"")</f>
      </c>
      <c r="O208" s="133">
        <f>IF(AND(X$54="c",Tech!Z$54&lt;&gt;""),Tech!Z$54,"")</f>
      </c>
      <c r="P208" s="133">
        <f>IF(AND(X$54="c",Tech!AA$54&lt;&gt;""),Tech!AA$54,"")</f>
      </c>
      <c r="Q208" s="133">
        <f>IF(AND(X$54="c",Tech!AB$54&lt;&gt;""),Tech!AB$54,"")</f>
      </c>
      <c r="R208" s="133">
        <f>IF(AND(X$54="c",Tech!AC$54&lt;&gt;""),Tech!AC$54,"")</f>
      </c>
      <c r="S208" s="133">
        <f>IF(AND(X$54="c",Tech!AD$54&lt;&gt;""),Tech!AD$54,"")</f>
      </c>
      <c r="T208" s="133">
        <f>IF(AND(X$54="c",Tech!AE$54&lt;&gt;""),Tech!AE$54,"")</f>
      </c>
      <c r="U208" s="19"/>
    </row>
    <row r="209" spans="8:21" ht="12.75">
      <c r="H209" s="150"/>
      <c r="I209" s="149" t="s">
        <v>35</v>
      </c>
      <c r="J209" s="133">
        <f>+IF(K209="","",(+ABS(IF(K209="",0,K209))+ABS(IF(L209="",0,L209))+ABS(IF(M209="",0,M209))+ABS(IF(N209="",0,N209))+ABS(IF(O209="",0,O209))+ABS(IF(P209="",0,P209))+ABS(IF(Q209="",0,Q209))+ABS(IF(R209="",0,R209))+ABS(IF(S209="",0,S209))+ABS(IF(T209="",0,T209)))/+COUNT(K209:T209))</f>
      </c>
      <c r="K209" s="133">
        <f>IF(X$54="c",Tech!AH$54,"")</f>
      </c>
      <c r="L209" s="133">
        <f>IF(X$54="c",Tech!AI$54,"")</f>
      </c>
      <c r="M209" s="133">
        <f>IF(AND(X$54="c",Tech!AJ$54&lt;&gt;""),Tech!AJ$54,"")</f>
      </c>
      <c r="N209" s="133">
        <f>IF(AND(X$54="c",Tech!AK$54&lt;&gt;""),Tech!AK$54,"")</f>
      </c>
      <c r="O209" s="133">
        <f>IF(AND(X$54="c",Tech!AL$54&lt;&gt;""),Tech!AL$54,"")</f>
      </c>
      <c r="P209" s="133">
        <f>IF(AND(X$54="c",Tech!AM$54&lt;&gt;""),Tech!AM$54,"")</f>
      </c>
      <c r="Q209" s="133">
        <f>IF(AND(X$54="c",Tech!AN$54&lt;&gt;""),Tech!AN$54,"")</f>
      </c>
      <c r="R209" s="133">
        <f>IF(AND(X$54="c",Tech!AO$54&lt;&gt;""),Tech!AO$54,"")</f>
      </c>
      <c r="S209" s="133">
        <f>IF(AND(X$54="c",Tech!AP$54&lt;&gt;""),Tech!AP$54,"")</f>
      </c>
      <c r="T209" s="133">
        <f>IF(AND(X$54="c",Tech!AQ$54&lt;&gt;""),Tech!AQ$54,"")</f>
      </c>
      <c r="U209" s="19"/>
    </row>
    <row r="210" spans="8:21" ht="12.75">
      <c r="H210" s="150"/>
      <c r="I210" s="149" t="s">
        <v>33</v>
      </c>
      <c r="J210" s="133">
        <f>+IF(K210="","",(+ABS(IF(K210="",0,K210))+ABS(IF(L210="",0,L210))+ABS(IF(M210="",0,M210))+ABS(IF(N210="",0,N210))+ABS(IF(O210="",0,O210))+ABS(IF(P210="",0,P210))+ABS(IF(Q210="",0,Q210))+ABS(IF(R210="",0,R210))+ABS(IF(S210="",0,S210))+ABS(IF(T210="",0,T210)))/+COUNT(K210:T210))</f>
      </c>
      <c r="K210" s="133">
        <f>IF(X$54="c",Tech!AT$54,"")</f>
      </c>
      <c r="L210" s="133">
        <f>IF(X$54="c",Tech!AU$54,"")</f>
      </c>
      <c r="M210" s="133">
        <f>IF(AND(X$54="c",Tech!AV$54&lt;&gt;""),Tech!AV$54,"")</f>
      </c>
      <c r="N210" s="133">
        <f>IF(AND(X$54="c",Tech!AW$54&lt;&gt;""),Tech!AW$54,"")</f>
      </c>
      <c r="O210" s="133">
        <f>IF(AND(X$54="c",Tech!AX$54&lt;&gt;""),Tech!AX$54,"")</f>
      </c>
      <c r="P210" s="133">
        <f>IF(AND(X$54="c",Tech!AY$54&lt;&gt;""),Tech!AY$54,"")</f>
      </c>
      <c r="Q210" s="133">
        <f>IF(AND(X$54="c",Tech!AZ$54&lt;&gt;""),Tech!AZ$54,"")</f>
      </c>
      <c r="R210" s="133">
        <f>IF(AND(X$54="c",Tech!BA$54&lt;&gt;""),Tech!BA$54,"")</f>
      </c>
      <c r="S210" s="133">
        <f>IF(AND(X$54="c",Tech!BB$54&lt;&gt;""),Tech!BB$54,"")</f>
      </c>
      <c r="T210" s="133">
        <f>IF(AND(X$54="c",Tech!BC$54&lt;&gt;""),Tech!BC$54,"")</f>
      </c>
      <c r="U210" s="19"/>
    </row>
    <row r="211" spans="8:21" ht="12.75">
      <c r="H211" s="144">
        <f>IF(V55="","",V55)</f>
      </c>
      <c r="I211" s="145" t="s">
        <v>32</v>
      </c>
      <c r="J211" s="146" t="s">
        <v>36</v>
      </c>
      <c r="K211" s="133">
        <f>IF($X$55="","",$Y$55*K$15)</f>
      </c>
      <c r="L211" s="133">
        <f aca="true" t="shared" si="47" ref="L211:T211">IF(OR(L$15="",$X$55=""),"",$Y$55*L$15)</f>
      </c>
      <c r="M211" s="133">
        <f t="shared" si="47"/>
      </c>
      <c r="N211" s="133">
        <f t="shared" si="47"/>
      </c>
      <c r="O211" s="133">
        <f t="shared" si="47"/>
      </c>
      <c r="P211" s="133">
        <f t="shared" si="47"/>
      </c>
      <c r="Q211" s="133">
        <f t="shared" si="47"/>
      </c>
      <c r="R211" s="133">
        <f t="shared" si="47"/>
      </c>
      <c r="S211" s="133">
        <f t="shared" si="47"/>
      </c>
      <c r="T211" s="133">
        <f t="shared" si="47"/>
      </c>
      <c r="U211" s="19"/>
    </row>
    <row r="212" spans="8:21" ht="12.75">
      <c r="H212" s="150"/>
      <c r="I212" s="148" t="s">
        <v>29</v>
      </c>
      <c r="J212" s="133">
        <f>+IF(K212="","",(+ABS(IF(K212="",0,K212))+ABS(IF(L212="",0,L212))+ABS(IF(M212="",0,M212))+ABS(IF(N212="",0,N212))+ABS(IF(O212="",0,O212))+ABS(IF(P212="",0,P212))+ABS(IF(Q212="",0,Q212))+ABS(IF(R212="",0,R212))+ABS(IF(S212="",0,S212))+ABS(IF(T212="",0,T212)))/+COUNT(K212:T212))</f>
      </c>
      <c r="K212" s="133">
        <f>IF(X$55="b",Tech!J$55,"")</f>
      </c>
      <c r="L212" s="133">
        <f>IF(X$55="b",Tech!K$55,"")</f>
      </c>
      <c r="M212" s="133">
        <f>IF(AND(X$55="b",Tech!L$55&lt;&gt;""),Tech!L$55,"")</f>
      </c>
      <c r="N212" s="133">
        <f>IF(AND(X$55="b",Tech!M$55&lt;&gt;""),Tech!M$55,"")</f>
      </c>
      <c r="O212" s="133">
        <f>IF(AND(X$55="b",Tech!N$55&lt;&gt;""),Tech!N$55,"")</f>
      </c>
      <c r="P212" s="133">
        <f>IF(AND(X$55="b",Tech!O$55&lt;&gt;""),Tech!O$55,"")</f>
      </c>
      <c r="Q212" s="133">
        <f>IF(AND(X$55="b",Tech!P$55&lt;&gt;""),Tech!P$55,"")</f>
      </c>
      <c r="R212" s="133">
        <f>IF(AND(X$55="b",Tech!Q$55&lt;&gt;""),Tech!Q$55,"")</f>
      </c>
      <c r="S212" s="133">
        <f>IF(AND(X$55="b",Tech!R$55&lt;&gt;""),Tech!R$55,"")</f>
      </c>
      <c r="T212" s="133">
        <f>IF(AND(X$55="b",Tech!S$55&lt;&gt;""),Tech!S$55,"")</f>
      </c>
      <c r="U212" s="19"/>
    </row>
    <row r="213" spans="8:21" ht="12.75">
      <c r="H213" s="150"/>
      <c r="I213" s="149" t="s">
        <v>34</v>
      </c>
      <c r="J213" s="133">
        <f>+IF(K213="","",(+ABS(IF(K213="",0,K213))+ABS(IF(L213="",0,L213))+ABS(IF(M213="",0,M213))+ABS(IF(N213="",0,N213))+ABS(IF(O213="",0,O213))+ABS(IF(P213="",0,P213))+ABS(IF(Q213="",0,Q213))+ABS(IF(R213="",0,R213))+ABS(IF(S213="",0,S213))+ABS(IF(T213="",0,T213)))/+COUNT(K213:T213))</f>
      </c>
      <c r="K213" s="133">
        <f>IF(X$55="c",Tech!V$55,"")</f>
      </c>
      <c r="L213" s="133">
        <f>IF(X$55="c",Tech!W$55,"")</f>
      </c>
      <c r="M213" s="133">
        <f>IF(AND(X$55="c",Tech!X$55&lt;&gt;""),Tech!X$55,"")</f>
      </c>
      <c r="N213" s="133">
        <f>IF(AND(X$55="c",Tech!Y$55&lt;&gt;""),Tech!Y$55,"")</f>
      </c>
      <c r="O213" s="133">
        <f>IF(AND(X$55="c",Tech!Z$55&lt;&gt;""),Tech!Z$55,"")</f>
      </c>
      <c r="P213" s="133">
        <f>IF(AND(X$55="c",Tech!AA$55&lt;&gt;""),Tech!AA$55,"")</f>
      </c>
      <c r="Q213" s="133">
        <f>IF(AND(X$55="c",Tech!AB$55&lt;&gt;""),Tech!AB$55,"")</f>
      </c>
      <c r="R213" s="133">
        <f>IF(AND(X$55="c",Tech!AC$55&lt;&gt;""),Tech!AC$55,"")</f>
      </c>
      <c r="S213" s="133">
        <f>IF(AND(X$55="c",Tech!AD$55&lt;&gt;""),Tech!AD$55,"")</f>
      </c>
      <c r="T213" s="133">
        <f>IF(AND(X$55="c",Tech!AE$55&lt;&gt;""),Tech!AE$55,"")</f>
      </c>
      <c r="U213" s="19"/>
    </row>
    <row r="214" spans="8:21" ht="12.75">
      <c r="H214" s="150"/>
      <c r="I214" s="149" t="s">
        <v>35</v>
      </c>
      <c r="J214" s="133">
        <f>+IF(K214="","",(+ABS(IF(K214="",0,K214))+ABS(IF(L214="",0,L214))+ABS(IF(M214="",0,M214))+ABS(IF(N214="",0,N214))+ABS(IF(O214="",0,O214))+ABS(IF(P214="",0,P214))+ABS(IF(Q214="",0,Q214))+ABS(IF(R214="",0,R214))+ABS(IF(S214="",0,S214))+ABS(IF(T214="",0,T214)))/+COUNT(K214:T214))</f>
      </c>
      <c r="K214" s="133">
        <f>IF(X$55="c",Tech!AH$55,"")</f>
      </c>
      <c r="L214" s="133">
        <f>IF(X$55="c",Tech!AI$55,"")</f>
      </c>
      <c r="M214" s="133">
        <f>IF(AND(X$55="c",Tech!AJ$55&lt;&gt;""),Tech!AJ$55,"")</f>
      </c>
      <c r="N214" s="133">
        <f>IF(AND(X$55="c",Tech!AK$55&lt;&gt;""),Tech!AK$55,"")</f>
      </c>
      <c r="O214" s="133">
        <f>IF(AND(X$55="c",Tech!AL$55&lt;&gt;""),Tech!AL$55,"")</f>
      </c>
      <c r="P214" s="133">
        <f>IF(AND(X$55="c",Tech!AM$55&lt;&gt;""),Tech!AM$55,"")</f>
      </c>
      <c r="Q214" s="133">
        <f>IF(AND(X$55="c",Tech!AN$55&lt;&gt;""),Tech!AN$55,"")</f>
      </c>
      <c r="R214" s="133">
        <f>IF(AND(X$55="c",Tech!AO$55&lt;&gt;""),Tech!AO$55,"")</f>
      </c>
      <c r="S214" s="133">
        <f>IF(AND(X$55="c",Tech!AP$55&lt;&gt;""),Tech!AP$55,"")</f>
      </c>
      <c r="T214" s="133">
        <f>IF(AND(X$55="c",Tech!AQ$55&lt;&gt;""),Tech!AQ$55,"")</f>
      </c>
      <c r="U214" s="19"/>
    </row>
    <row r="215" spans="8:21" ht="12.75">
      <c r="H215" s="150"/>
      <c r="I215" s="149" t="s">
        <v>33</v>
      </c>
      <c r="J215" s="133">
        <f>+IF(K215="","",(+ABS(IF(K215="",0,K215))+ABS(IF(L215="",0,L215))+ABS(IF(M215="",0,M215))+ABS(IF(N215="",0,N215))+ABS(IF(O215="",0,O215))+ABS(IF(P215="",0,P215))+ABS(IF(Q215="",0,Q215))+ABS(IF(R215="",0,R215))+ABS(IF(S215="",0,S215))+ABS(IF(T215="",0,T215)))/+COUNT(K215:T215))</f>
      </c>
      <c r="K215" s="133">
        <f>IF(X$55="c",Tech!AT$55,"")</f>
      </c>
      <c r="L215" s="133">
        <f>IF(X$55="c",Tech!AU$55,"")</f>
      </c>
      <c r="M215" s="133">
        <f>IF(AND(X$55="c",Tech!AV$55&lt;&gt;""),Tech!AV$55,"")</f>
      </c>
      <c r="N215" s="133">
        <f>IF(AND(X$55="c",Tech!AW$55&lt;&gt;""),Tech!AW$55,"")</f>
      </c>
      <c r="O215" s="133">
        <f>IF(AND(X$55="c",Tech!AX$55&lt;&gt;""),Tech!AX$55,"")</f>
      </c>
      <c r="P215" s="133">
        <f>IF(AND(X$55="c",Tech!AY$55&lt;&gt;""),Tech!AY$55,"")</f>
      </c>
      <c r="Q215" s="133">
        <f>IF(AND(X$55="c",Tech!AZ$55&lt;&gt;""),Tech!AZ$55,"")</f>
      </c>
      <c r="R215" s="133">
        <f>IF(AND(X$55="c",Tech!BA$55&lt;&gt;""),Tech!BA$55,"")</f>
      </c>
      <c r="S215" s="133">
        <f>IF(AND(X$55="c",Tech!BB$55&lt;&gt;""),Tech!BB$55,"")</f>
      </c>
      <c r="T215" s="133">
        <f>IF(AND(X$55="c",Tech!BC$55&lt;&gt;""),Tech!BC$55,"")</f>
      </c>
      <c r="U215" s="19"/>
    </row>
    <row r="216" spans="8:21" ht="12.75">
      <c r="H216" s="144">
        <f>IF(V56="","",V56)</f>
      </c>
      <c r="I216" s="145" t="s">
        <v>32</v>
      </c>
      <c r="J216" s="146" t="s">
        <v>36</v>
      </c>
      <c r="K216" s="133">
        <f>IF($X$56="","",$Y$56*K$15)</f>
      </c>
      <c r="L216" s="133">
        <f aca="true" t="shared" si="48" ref="L216:T216">IF(OR(L$15="",$X$56=""),"",$Y$56*L$15)</f>
      </c>
      <c r="M216" s="133">
        <f t="shared" si="48"/>
      </c>
      <c r="N216" s="133">
        <f t="shared" si="48"/>
      </c>
      <c r="O216" s="133">
        <f t="shared" si="48"/>
      </c>
      <c r="P216" s="133">
        <f t="shared" si="48"/>
      </c>
      <c r="Q216" s="133">
        <f t="shared" si="48"/>
      </c>
      <c r="R216" s="133">
        <f t="shared" si="48"/>
      </c>
      <c r="S216" s="133">
        <f t="shared" si="48"/>
      </c>
      <c r="T216" s="133">
        <f t="shared" si="48"/>
      </c>
      <c r="U216" s="19"/>
    </row>
    <row r="217" spans="8:21" ht="12.75">
      <c r="H217" s="150"/>
      <c r="I217" s="148" t="s">
        <v>29</v>
      </c>
      <c r="J217" s="133">
        <f>+IF(K217="","",(+ABS(IF(K217="",0,K217))+ABS(IF(L217="",0,L217))+ABS(IF(M217="",0,M217))+ABS(IF(N217="",0,N217))+ABS(IF(O217="",0,O217))+ABS(IF(P217="",0,P217))+ABS(IF(Q217="",0,Q217))+ABS(IF(R217="",0,R217))+ABS(IF(S217="",0,S217))+ABS(IF(T217="",0,T217)))/+COUNT(K217:T217))</f>
      </c>
      <c r="K217" s="133">
        <f>IF(X$56="b",Tech!J$56,"")</f>
      </c>
      <c r="L217" s="133">
        <f>IF(X$56="b",Tech!K$56,"")</f>
      </c>
      <c r="M217" s="133">
        <f>IF(AND(X$56="b",Tech!L$56&lt;&gt;""),Tech!L$56,"")</f>
      </c>
      <c r="N217" s="133">
        <f>IF(AND(X$56="b",Tech!M$56&lt;&gt;""),Tech!M$56,"")</f>
      </c>
      <c r="O217" s="133">
        <f>IF(AND(X$56="b",Tech!N$56&lt;&gt;""),Tech!N$56,"")</f>
      </c>
      <c r="P217" s="133">
        <f>IF(AND(X$56="b",Tech!O$56&lt;&gt;""),Tech!O$56,"")</f>
      </c>
      <c r="Q217" s="133">
        <f>IF(AND(X$56="b",Tech!P$56&lt;&gt;""),Tech!P$56,"")</f>
      </c>
      <c r="R217" s="133">
        <f>IF(AND(X$56="b",Tech!Q$56&lt;&gt;""),Tech!Q$56,"")</f>
      </c>
      <c r="S217" s="133">
        <f>IF(AND(X$56="b",Tech!R$56&lt;&gt;""),Tech!R$56,"")</f>
      </c>
      <c r="T217" s="133">
        <f>IF(AND(X$56="b",Tech!S$56&lt;&gt;""),Tech!S$56,"")</f>
      </c>
      <c r="U217" s="19"/>
    </row>
    <row r="218" spans="8:21" ht="12.75">
      <c r="H218" s="150"/>
      <c r="I218" s="149" t="s">
        <v>34</v>
      </c>
      <c r="J218" s="133">
        <f>+IF(K218="","",(+ABS(IF(K218="",0,K218))+ABS(IF(L218="",0,L218))+ABS(IF(M218="",0,M218))+ABS(IF(N218="",0,N218))+ABS(IF(O218="",0,O218))+ABS(IF(P218="",0,P218))+ABS(IF(Q218="",0,Q218))+ABS(IF(R218="",0,R218))+ABS(IF(S218="",0,S218))+ABS(IF(T218="",0,T218)))/+COUNT(K218:T218))</f>
      </c>
      <c r="K218" s="133">
        <f>IF(X$56="c",Tech!V$56,"")</f>
      </c>
      <c r="L218" s="133">
        <f>IF(X$56="c",Tech!W$56,"")</f>
      </c>
      <c r="M218" s="133">
        <f>IF(AND(X$56="c",Tech!X$56&lt;&gt;""),Tech!X$56,"")</f>
      </c>
      <c r="N218" s="133">
        <f>IF(AND(X$56="c",Tech!Y$56&lt;&gt;""),Tech!Y$56,"")</f>
      </c>
      <c r="O218" s="133">
        <f>IF(AND(X$56="c",Tech!Z$56&lt;&gt;""),Tech!Z$56,"")</f>
      </c>
      <c r="P218" s="133">
        <f>IF(AND(X$56="c",Tech!AA$56&lt;&gt;""),Tech!AA$56,"")</f>
      </c>
      <c r="Q218" s="133">
        <f>IF(AND(X$56="c",Tech!AB$56&lt;&gt;""),Tech!AB$56,"")</f>
      </c>
      <c r="R218" s="133">
        <f>IF(AND(X$56="c",Tech!AC$56&lt;&gt;""),Tech!AC$56,"")</f>
      </c>
      <c r="S218" s="133">
        <f>IF(AND(X$56="c",Tech!AD$56&lt;&gt;""),Tech!AD$56,"")</f>
      </c>
      <c r="T218" s="133">
        <f>IF(AND(X$56="c",Tech!AE$56&lt;&gt;""),Tech!AE$56,"")</f>
      </c>
      <c r="U218" s="19"/>
    </row>
    <row r="219" spans="8:21" ht="12.75">
      <c r="H219" s="150"/>
      <c r="I219" s="149" t="s">
        <v>35</v>
      </c>
      <c r="J219" s="133">
        <f>+IF(K219="","",(+ABS(IF(K219="",0,K219))+ABS(IF(L219="",0,L219))+ABS(IF(M219="",0,M219))+ABS(IF(N219="",0,N219))+ABS(IF(O219="",0,O219))+ABS(IF(P219="",0,P219))+ABS(IF(Q219="",0,Q219))+ABS(IF(R219="",0,R219))+ABS(IF(S219="",0,S219))+ABS(IF(T219="",0,T219)))/+COUNT(K219:T219))</f>
      </c>
      <c r="K219" s="133">
        <f>IF(X$56="c",Tech!AH$56,"")</f>
      </c>
      <c r="L219" s="133">
        <f>IF(X$56="c",Tech!AI$56,"")</f>
      </c>
      <c r="M219" s="133">
        <f>IF(AND(X$56="c",Tech!AJ$56&lt;&gt;""),Tech!AJ$56,"")</f>
      </c>
      <c r="N219" s="133">
        <f>IF(AND(X$56="c",Tech!AK$56&lt;&gt;""),Tech!AK$56,"")</f>
      </c>
      <c r="O219" s="133">
        <f>IF(AND(X$56="c",Tech!AL$56&lt;&gt;""),Tech!AL$56,"")</f>
      </c>
      <c r="P219" s="133">
        <f>IF(AND(X$56="c",Tech!AM$56&lt;&gt;""),Tech!AM$56,"")</f>
      </c>
      <c r="Q219" s="133">
        <f>IF(AND(X$56="c",Tech!AN$56&lt;&gt;""),Tech!AN$56,"")</f>
      </c>
      <c r="R219" s="133">
        <f>IF(AND(X$56="c",Tech!AO$56&lt;&gt;""),Tech!AO$56,"")</f>
      </c>
      <c r="S219" s="133">
        <f>IF(AND(X$56="c",Tech!AP$56&lt;&gt;""),Tech!AP$56,"")</f>
      </c>
      <c r="T219" s="133">
        <f>IF(AND(X$56="c",Tech!AQ$56&lt;&gt;""),Tech!AQ$56,"")</f>
      </c>
      <c r="U219" s="19"/>
    </row>
    <row r="220" spans="8:21" ht="12.75">
      <c r="H220" s="150"/>
      <c r="I220" s="149" t="s">
        <v>33</v>
      </c>
      <c r="J220" s="133">
        <f>+IF(K220="","",(+ABS(IF(K220="",0,K220))+ABS(IF(L220="",0,L220))+ABS(IF(M220="",0,M220))+ABS(IF(N220="",0,N220))+ABS(IF(O220="",0,O220))+ABS(IF(P220="",0,P220))+ABS(IF(Q220="",0,Q220))+ABS(IF(R220="",0,R220))+ABS(IF(S220="",0,S220))+ABS(IF(T220="",0,T220)))/+COUNT(K220:T220))</f>
      </c>
      <c r="K220" s="133">
        <f>IF(X$56="c",Tech!AT$56,"")</f>
      </c>
      <c r="L220" s="133">
        <f>IF(X$56="c",Tech!AU$56,"")</f>
      </c>
      <c r="M220" s="133">
        <f>IF(AND(X$56="c",Tech!AV$56&lt;&gt;""),Tech!AV$56,"")</f>
      </c>
      <c r="N220" s="133">
        <f>IF(AND(X$56="c",Tech!AW$56&lt;&gt;""),Tech!AW$56,"")</f>
      </c>
      <c r="O220" s="133">
        <f>IF(AND(X$56="c",Tech!AX$56&lt;&gt;""),Tech!AX$56,"")</f>
      </c>
      <c r="P220" s="133">
        <f>IF(AND(X$56="c",Tech!AY$56&lt;&gt;""),Tech!AY$56,"")</f>
      </c>
      <c r="Q220" s="133">
        <f>IF(AND(X$56="c",Tech!AZ$56&lt;&gt;""),Tech!AZ$56,"")</f>
      </c>
      <c r="R220" s="133">
        <f>IF(AND(X$56="c",Tech!BA$56&lt;&gt;""),Tech!BA$56,"")</f>
      </c>
      <c r="S220" s="133">
        <f>IF(AND(X$56="c",Tech!BB$56&lt;&gt;""),Tech!BB$56,"")</f>
      </c>
      <c r="T220" s="133">
        <f>IF(AND(X$56="c",Tech!BC$56&lt;&gt;""),Tech!BC$56,"")</f>
      </c>
      <c r="U220" s="19"/>
    </row>
    <row r="221" spans="8:21" ht="12.75">
      <c r="H221" s="144">
        <f>IF(V57="","",V57)</f>
      </c>
      <c r="I221" s="145" t="s">
        <v>32</v>
      </c>
      <c r="J221" s="146" t="s">
        <v>36</v>
      </c>
      <c r="K221" s="133">
        <f>IF($X$57="","",$Y$57*K$15)</f>
      </c>
      <c r="L221" s="133">
        <f aca="true" t="shared" si="49" ref="L221:T221">IF(OR(L$15="",$X$57=""),"",$Y$57*L$15)</f>
      </c>
      <c r="M221" s="133">
        <f t="shared" si="49"/>
      </c>
      <c r="N221" s="133">
        <f t="shared" si="49"/>
      </c>
      <c r="O221" s="133">
        <f t="shared" si="49"/>
      </c>
      <c r="P221" s="133">
        <f t="shared" si="49"/>
      </c>
      <c r="Q221" s="133">
        <f t="shared" si="49"/>
      </c>
      <c r="R221" s="133">
        <f t="shared" si="49"/>
      </c>
      <c r="S221" s="133">
        <f t="shared" si="49"/>
      </c>
      <c r="T221" s="133">
        <f t="shared" si="49"/>
      </c>
      <c r="U221" s="19"/>
    </row>
    <row r="222" spans="8:21" ht="12.75">
      <c r="H222" s="150"/>
      <c r="I222" s="148" t="s">
        <v>29</v>
      </c>
      <c r="J222" s="133">
        <f>+IF(K222="","",(+ABS(IF(K222="",0,K222))+ABS(IF(L222="",0,L222))+ABS(IF(M222="",0,M222))+ABS(IF(N222="",0,N222))+ABS(IF(O222="",0,O222))+ABS(IF(P222="",0,P222))+ABS(IF(Q222="",0,Q222))+ABS(IF(R222="",0,R222))+ABS(IF(S222="",0,S222))+ABS(IF(T222="",0,T222)))/+COUNT(K222:T222))</f>
      </c>
      <c r="K222" s="133">
        <f>IF(X$57="b",Tech!J$57,"")</f>
      </c>
      <c r="L222" s="133">
        <f>IF(X$57="b",Tech!K$57,"")</f>
      </c>
      <c r="M222" s="133">
        <f>IF(AND(X$57="b",Tech!L$57&lt;&gt;""),Tech!L$57,"")</f>
      </c>
      <c r="N222" s="133">
        <f>IF(AND(X$57="b",Tech!M$57&lt;&gt;""),Tech!M$57,"")</f>
      </c>
      <c r="O222" s="133">
        <f>IF(AND(X$57="b",Tech!N$57&lt;&gt;""),Tech!N$57,"")</f>
      </c>
      <c r="P222" s="133">
        <f>IF(AND(X$57="b",Tech!O$57&lt;&gt;""),Tech!O$57,"")</f>
      </c>
      <c r="Q222" s="133">
        <f>IF(AND(X$57="b",Tech!P$57&lt;&gt;""),Tech!P$57,"")</f>
      </c>
      <c r="R222" s="133">
        <f>IF(AND(X$57="b",Tech!Q$57&lt;&gt;""),Tech!Q$57,"")</f>
      </c>
      <c r="S222" s="133">
        <f>IF(AND(X$57="b",Tech!R$57&lt;&gt;""),Tech!R$57,"")</f>
      </c>
      <c r="T222" s="133">
        <f>IF(AND(X$57="b",Tech!S$57&lt;&gt;""),Tech!S$57,"")</f>
      </c>
      <c r="U222" s="19"/>
    </row>
    <row r="223" spans="8:21" ht="12.75">
      <c r="H223" s="150"/>
      <c r="I223" s="149" t="s">
        <v>34</v>
      </c>
      <c r="J223" s="133">
        <f>+IF(K223="","",(+ABS(IF(K223="",0,K223))+ABS(IF(L223="",0,L223))+ABS(IF(M223="",0,M223))+ABS(IF(N223="",0,N223))+ABS(IF(O223="",0,O223))+ABS(IF(P223="",0,P223))+ABS(IF(Q223="",0,Q223))+ABS(IF(R223="",0,R223))+ABS(IF(S223="",0,S223))+ABS(IF(T223="",0,T223)))/+COUNT(K223:T223))</f>
      </c>
      <c r="K223" s="133">
        <f>IF(X$57="c",Tech!V$57,"")</f>
      </c>
      <c r="L223" s="133">
        <f>IF(X$57="c",Tech!W$57,"")</f>
      </c>
      <c r="M223" s="133">
        <f>IF(AND(X$57="c",Tech!X$57&lt;&gt;""),Tech!X$57,"")</f>
      </c>
      <c r="N223" s="133">
        <f>IF(AND(X$57="c",Tech!Y$57&lt;&gt;""),Tech!Y$57,"")</f>
      </c>
      <c r="O223" s="133">
        <f>IF(AND(X$57="c",Tech!Z$57&lt;&gt;""),Tech!Z$57,"")</f>
      </c>
      <c r="P223" s="133">
        <f>IF(AND(X$57="c",Tech!AA$57&lt;&gt;""),Tech!AA$57,"")</f>
      </c>
      <c r="Q223" s="133">
        <f>IF(AND(X$57="c",Tech!AB$57&lt;&gt;""),Tech!AB$57,"")</f>
      </c>
      <c r="R223" s="133">
        <f>IF(AND(X$57="c",Tech!AC$57&lt;&gt;""),Tech!AC$57,"")</f>
      </c>
      <c r="S223" s="133">
        <f>IF(AND(X$57="c",Tech!AD$57&lt;&gt;""),Tech!AD$57,"")</f>
      </c>
      <c r="T223" s="133">
        <f>IF(AND(X$57="c",Tech!AE$57&lt;&gt;""),Tech!AE$57,"")</f>
      </c>
      <c r="U223" s="19"/>
    </row>
    <row r="224" spans="8:21" ht="12.75">
      <c r="H224" s="150"/>
      <c r="I224" s="149" t="s">
        <v>35</v>
      </c>
      <c r="J224" s="133">
        <f>+IF(K224="","",(+ABS(IF(K224="",0,K224))+ABS(IF(L224="",0,L224))+ABS(IF(M224="",0,M224))+ABS(IF(N224="",0,N224))+ABS(IF(O224="",0,O224))+ABS(IF(P224="",0,P224))+ABS(IF(Q224="",0,Q224))+ABS(IF(R224="",0,R224))+ABS(IF(S224="",0,S224))+ABS(IF(T224="",0,T224)))/+COUNT(K224:T224))</f>
      </c>
      <c r="K224" s="133">
        <f>IF(X$57="c",Tech!AH$57,"")</f>
      </c>
      <c r="L224" s="133">
        <f>IF(X$57="c",Tech!AI$57,"")</f>
      </c>
      <c r="M224" s="133">
        <f>IF(AND(X$57="c",Tech!AJ$57&lt;&gt;""),Tech!AJ$57,"")</f>
      </c>
      <c r="N224" s="133">
        <f>IF(AND(X$57="c",Tech!AK$57&lt;&gt;""),Tech!AK$57,"")</f>
      </c>
      <c r="O224" s="133">
        <f>IF(AND(X$57="c",Tech!AL$57&lt;&gt;""),Tech!AL$57,"")</f>
      </c>
      <c r="P224" s="133">
        <f>IF(AND(X$57="c",Tech!AM$57&lt;&gt;""),Tech!AM$57,"")</f>
      </c>
      <c r="Q224" s="133">
        <f>IF(AND(X$57="c",Tech!AN$57&lt;&gt;""),Tech!AN$57,"")</f>
      </c>
      <c r="R224" s="133">
        <f>IF(AND(X$57="c",Tech!AO$57&lt;&gt;""),Tech!AO$57,"")</f>
      </c>
      <c r="S224" s="133">
        <f>IF(AND(X$57="c",Tech!AP$57&lt;&gt;""),Tech!AP$57,"")</f>
      </c>
      <c r="T224" s="133">
        <f>IF(AND(X$57="c",Tech!AQ$57&lt;&gt;""),Tech!AQ$57,"")</f>
      </c>
      <c r="U224" s="19"/>
    </row>
    <row r="225" spans="8:21" ht="12.75">
      <c r="H225" s="150"/>
      <c r="I225" s="149" t="s">
        <v>33</v>
      </c>
      <c r="J225" s="133">
        <f>+IF(K225="","",(+ABS(IF(K225="",0,K225))+ABS(IF(L225="",0,L225))+ABS(IF(M225="",0,M225))+ABS(IF(N225="",0,N225))+ABS(IF(O225="",0,O225))+ABS(IF(P225="",0,P225))+ABS(IF(Q225="",0,Q225))+ABS(IF(R225="",0,R225))+ABS(IF(S225="",0,S225))+ABS(IF(T225="",0,T225)))/+COUNT(K225:T225))</f>
      </c>
      <c r="K225" s="133">
        <f>IF(X$57="c",Tech!AT$57,"")</f>
      </c>
      <c r="L225" s="133">
        <f>IF(X$57="c",Tech!AU$57,"")</f>
      </c>
      <c r="M225" s="133">
        <f>IF(AND(X$57="c",Tech!AV$57&lt;&gt;""),Tech!AV$57,"")</f>
      </c>
      <c r="N225" s="133">
        <f>IF(AND(X$57="c",Tech!AW$57&lt;&gt;""),Tech!AW$57,"")</f>
      </c>
      <c r="O225" s="133">
        <f>IF(AND(X$57="c",Tech!AX$57&lt;&gt;""),Tech!AX$57,"")</f>
      </c>
      <c r="P225" s="133">
        <f>IF(AND(X$57="c",Tech!AY$57&lt;&gt;""),Tech!AY$57,"")</f>
      </c>
      <c r="Q225" s="133">
        <f>IF(AND(X$57="c",Tech!AZ$57&lt;&gt;""),Tech!AZ$57,"")</f>
      </c>
      <c r="R225" s="133">
        <f>IF(AND(X$57="c",Tech!BA$57&lt;&gt;""),Tech!BA$57,"")</f>
      </c>
      <c r="S225" s="133">
        <f>IF(AND(X$57="c",Tech!BB$57&lt;&gt;""),Tech!BB$57,"")</f>
      </c>
      <c r="T225" s="133">
        <f>IF(AND(X$57="c",Tech!BC$57&lt;&gt;""),Tech!BC$57,"")</f>
      </c>
      <c r="U225" s="19"/>
    </row>
    <row r="226" spans="8:21" ht="12.75">
      <c r="H226" s="144">
        <f>IF(V58="","",V58)</f>
      </c>
      <c r="I226" s="145" t="s">
        <v>32</v>
      </c>
      <c r="J226" s="146" t="s">
        <v>36</v>
      </c>
      <c r="K226" s="133">
        <f>IF($X$58="","",$Y$58*K$15)</f>
      </c>
      <c r="L226" s="133">
        <f aca="true" t="shared" si="50" ref="L226:T226">IF(OR(L$15="",$X$58=""),"",$Y$58*L$15)</f>
      </c>
      <c r="M226" s="133">
        <f t="shared" si="50"/>
      </c>
      <c r="N226" s="133">
        <f t="shared" si="50"/>
      </c>
      <c r="O226" s="133">
        <f t="shared" si="50"/>
      </c>
      <c r="P226" s="133">
        <f t="shared" si="50"/>
      </c>
      <c r="Q226" s="133">
        <f t="shared" si="50"/>
      </c>
      <c r="R226" s="133">
        <f t="shared" si="50"/>
      </c>
      <c r="S226" s="133">
        <f t="shared" si="50"/>
      </c>
      <c r="T226" s="133">
        <f t="shared" si="50"/>
      </c>
      <c r="U226" s="19"/>
    </row>
    <row r="227" spans="8:21" ht="12.75">
      <c r="H227" s="150"/>
      <c r="I227" s="148" t="s">
        <v>29</v>
      </c>
      <c r="J227" s="133">
        <f>+IF(K227="","",(+ABS(IF(K227="",0,K227))+ABS(IF(L227="",0,L227))+ABS(IF(M227="",0,M227))+ABS(IF(N227="",0,N227))+ABS(IF(O227="",0,O227))+ABS(IF(P227="",0,P227))+ABS(IF(Q227="",0,Q227))+ABS(IF(R227="",0,R227))+ABS(IF(S227="",0,S227))+ABS(IF(T227="",0,T227)))/+COUNT(K227:T227))</f>
      </c>
      <c r="K227" s="133">
        <f>IF(X$58="b",Tech!J$58,"")</f>
      </c>
      <c r="L227" s="133">
        <f>IF(X$58="b",Tech!K$58,"")</f>
      </c>
      <c r="M227" s="133">
        <f>IF(AND(X$58="b",Tech!L$58&lt;&gt;""),Tech!L$58,"")</f>
      </c>
      <c r="N227" s="133">
        <f>IF(AND(X$58="b",Tech!M$58&lt;&gt;""),Tech!M$58,"")</f>
      </c>
      <c r="O227" s="133">
        <f>IF(AND(X$58="b",Tech!N$58&lt;&gt;""),Tech!N$58,"")</f>
      </c>
      <c r="P227" s="133">
        <f>IF(AND(X$58="b",Tech!O$58&lt;&gt;""),Tech!O$58,"")</f>
      </c>
      <c r="Q227" s="133">
        <f>IF(AND(X$58="b",Tech!P$58&lt;&gt;""),Tech!P$58,"")</f>
      </c>
      <c r="R227" s="133">
        <f>IF(AND(X$58="b",Tech!Q$58&lt;&gt;""),Tech!Q$58,"")</f>
      </c>
      <c r="S227" s="133">
        <f>IF(AND(X$58="b",Tech!R$58&lt;&gt;""),Tech!R$58,"")</f>
      </c>
      <c r="T227" s="133">
        <f>IF(AND(X$58="b",Tech!S$58&lt;&gt;""),Tech!S$58,"")</f>
      </c>
      <c r="U227" s="19"/>
    </row>
    <row r="228" spans="8:21" ht="12.75">
      <c r="H228" s="150"/>
      <c r="I228" s="149" t="s">
        <v>34</v>
      </c>
      <c r="J228" s="133">
        <f>+IF(K228="","",(+ABS(IF(K228="",0,K228))+ABS(IF(L228="",0,L228))+ABS(IF(M228="",0,M228))+ABS(IF(N228="",0,N228))+ABS(IF(O228="",0,O228))+ABS(IF(P228="",0,P228))+ABS(IF(Q228="",0,Q228))+ABS(IF(R228="",0,R228))+ABS(IF(S228="",0,S228))+ABS(IF(T228="",0,T228)))/+COUNT(K228:T228))</f>
      </c>
      <c r="K228" s="133">
        <f>IF(X$58="c",Tech!V$58,"")</f>
      </c>
      <c r="L228" s="133">
        <f>IF(X$58="c",Tech!W$58,"")</f>
      </c>
      <c r="M228" s="133">
        <f>IF(AND(X$58="c",Tech!X$58&lt;&gt;""),Tech!X$58,"")</f>
      </c>
      <c r="N228" s="133">
        <f>IF(AND(X$58="c",Tech!Y$58&lt;&gt;""),Tech!Y$58,"")</f>
      </c>
      <c r="O228" s="133">
        <f>IF(AND(X$58="c",Tech!Z$58&lt;&gt;""),Tech!Z$58,"")</f>
      </c>
      <c r="P228" s="133">
        <f>IF(AND(X$58="c",Tech!AA$58&lt;&gt;""),Tech!AA$58,"")</f>
      </c>
      <c r="Q228" s="133">
        <f>IF(AND(X$58="c",Tech!AB$58&lt;&gt;""),Tech!AB$58,"")</f>
      </c>
      <c r="R228" s="133">
        <f>IF(AND(X$58="c",Tech!AC$58&lt;&gt;""),Tech!AC$58,"")</f>
      </c>
      <c r="S228" s="133">
        <f>IF(AND(X$58="c",Tech!AD$58&lt;&gt;""),Tech!AD$58,"")</f>
      </c>
      <c r="T228" s="133">
        <f>IF(AND(X$58="c",Tech!AE$58&lt;&gt;""),Tech!AE$58,"")</f>
      </c>
      <c r="U228" s="19"/>
    </row>
    <row r="229" spans="8:21" ht="12.75">
      <c r="H229" s="150"/>
      <c r="I229" s="149" t="s">
        <v>35</v>
      </c>
      <c r="J229" s="133">
        <f>+IF(K229="","",(+ABS(IF(K229="",0,K229))+ABS(IF(L229="",0,L229))+ABS(IF(M229="",0,M229))+ABS(IF(N229="",0,N229))+ABS(IF(O229="",0,O229))+ABS(IF(P229="",0,P229))+ABS(IF(Q229="",0,Q229))+ABS(IF(R229="",0,R229))+ABS(IF(S229="",0,S229))+ABS(IF(T229="",0,T229)))/+COUNT(K229:T229))</f>
      </c>
      <c r="K229" s="133">
        <f>IF(X$58="c",Tech!AH$58,"")</f>
      </c>
      <c r="L229" s="133">
        <f>IF(X$58="c",Tech!AI$58,"")</f>
      </c>
      <c r="M229" s="133">
        <f>IF(AND(X$58="c",Tech!AJ$58&lt;&gt;""),Tech!AJ$58,"")</f>
      </c>
      <c r="N229" s="133">
        <f>IF(AND(X$58="c",Tech!AK$58&lt;&gt;""),Tech!AK$58,"")</f>
      </c>
      <c r="O229" s="133">
        <f>IF(AND(X$58="c",Tech!AL$58&lt;&gt;""),Tech!AL$58,"")</f>
      </c>
      <c r="P229" s="133">
        <f>IF(AND(X$58="c",Tech!AM$58&lt;&gt;""),Tech!AM$58,"")</f>
      </c>
      <c r="Q229" s="133">
        <f>IF(AND(X$58="c",Tech!AN$58&lt;&gt;""),Tech!AN$58,"")</f>
      </c>
      <c r="R229" s="133">
        <f>IF(AND(X$58="c",Tech!AO$58&lt;&gt;""),Tech!AO$58,"")</f>
      </c>
      <c r="S229" s="133">
        <f>IF(AND(X$58="c",Tech!AP$58&lt;&gt;""),Tech!AP$58,"")</f>
      </c>
      <c r="T229" s="133">
        <f>IF(AND(X$58="c",Tech!AQ$58&lt;&gt;""),Tech!AQ$58,"")</f>
      </c>
      <c r="U229" s="19"/>
    </row>
    <row r="230" spans="8:21" ht="12.75">
      <c r="H230" s="150"/>
      <c r="I230" s="149" t="s">
        <v>33</v>
      </c>
      <c r="J230" s="133">
        <f>+IF(K230="","",(+ABS(IF(K230="",0,K230))+ABS(IF(L230="",0,L230))+ABS(IF(M230="",0,M230))+ABS(IF(N230="",0,N230))+ABS(IF(O230="",0,O230))+ABS(IF(P230="",0,P230))+ABS(IF(Q230="",0,Q230))+ABS(IF(R230="",0,R230))+ABS(IF(S230="",0,S230))+ABS(IF(T230="",0,T230)))/+COUNT(K230:T230))</f>
      </c>
      <c r="K230" s="133">
        <f>IF(X$58="c",Tech!AT$58,"")</f>
      </c>
      <c r="L230" s="133">
        <f>IF(X$58="c",Tech!AU$58,"")</f>
      </c>
      <c r="M230" s="133">
        <f>IF(AND(X$58="c",Tech!AV$58&lt;&gt;""),Tech!AV$58,"")</f>
      </c>
      <c r="N230" s="133">
        <f>IF(AND(X$58="c",Tech!AW$58&lt;&gt;""),Tech!AW$58,"")</f>
      </c>
      <c r="O230" s="133">
        <f>IF(AND(X$58="c",Tech!AX$58&lt;&gt;""),Tech!AX$58,"")</f>
      </c>
      <c r="P230" s="133">
        <f>IF(AND(X$58="c",Tech!AY$58&lt;&gt;""),Tech!AY$58,"")</f>
      </c>
      <c r="Q230" s="133">
        <f>IF(AND(X$58="c",Tech!AZ$58&lt;&gt;""),Tech!AZ$58,"")</f>
      </c>
      <c r="R230" s="133">
        <f>IF(AND(X$58="c",Tech!BA$58&lt;&gt;""),Tech!BA$58,"")</f>
      </c>
      <c r="S230" s="133">
        <f>IF(AND(X$58="c",Tech!BB$58&lt;&gt;""),Tech!BB$58,"")</f>
      </c>
      <c r="T230" s="133">
        <f>IF(AND(X$58="c",Tech!BC$58&lt;&gt;""),Tech!BC$58,"")</f>
      </c>
      <c r="U230" s="19"/>
    </row>
    <row r="231" spans="8:21" ht="12.75">
      <c r="H231" s="144">
        <f>IF(V59="","",V59)</f>
      </c>
      <c r="I231" s="145" t="s">
        <v>32</v>
      </c>
      <c r="J231" s="146" t="s">
        <v>36</v>
      </c>
      <c r="K231" s="133">
        <f>IF($X$59="","",$Y$59*K$15)</f>
      </c>
      <c r="L231" s="133">
        <f aca="true" t="shared" si="51" ref="L231:T231">IF(OR(L$15="",$X$59=""),"",$Y$59*L$15)</f>
      </c>
      <c r="M231" s="133">
        <f t="shared" si="51"/>
      </c>
      <c r="N231" s="133">
        <f t="shared" si="51"/>
      </c>
      <c r="O231" s="133">
        <f t="shared" si="51"/>
      </c>
      <c r="P231" s="133">
        <f t="shared" si="51"/>
      </c>
      <c r="Q231" s="133">
        <f t="shared" si="51"/>
      </c>
      <c r="R231" s="133">
        <f t="shared" si="51"/>
      </c>
      <c r="S231" s="133">
        <f t="shared" si="51"/>
      </c>
      <c r="T231" s="133">
        <f t="shared" si="51"/>
      </c>
      <c r="U231" s="19"/>
    </row>
    <row r="232" spans="8:21" ht="12.75">
      <c r="H232" s="150"/>
      <c r="I232" s="148" t="s">
        <v>29</v>
      </c>
      <c r="J232" s="133">
        <f>+IF(K232="","",(+ABS(IF(K232="",0,K232))+ABS(IF(L232="",0,L232))+ABS(IF(M232="",0,M232))+ABS(IF(N232="",0,N232))+ABS(IF(O232="",0,O232))+ABS(IF(P232="",0,P232))+ABS(IF(Q232="",0,Q232))+ABS(IF(R232="",0,R232))+ABS(IF(S232="",0,S232))+ABS(IF(T232="",0,T232)))/+COUNT(K232:T232))</f>
      </c>
      <c r="K232" s="133">
        <f>IF(X$59="b",Tech!J$59,"")</f>
      </c>
      <c r="L232" s="133">
        <f>IF(X$59="b",Tech!K$59,"")</f>
      </c>
      <c r="M232" s="133">
        <f>IF(AND(X$59="b",Tech!L$59&lt;&gt;""),Tech!L$59,"")</f>
      </c>
      <c r="N232" s="133">
        <f>IF(AND(X$59="b",Tech!M$59&lt;&gt;""),Tech!M$59,"")</f>
      </c>
      <c r="O232" s="133">
        <f>IF(AND(X$59="b",Tech!N$59&lt;&gt;""),Tech!N$59,"")</f>
      </c>
      <c r="P232" s="133">
        <f>IF(AND(X$59="b",Tech!O$59&lt;&gt;""),Tech!O$59,"")</f>
      </c>
      <c r="Q232" s="133">
        <f>IF(AND(X$59="b",Tech!P$59&lt;&gt;""),Tech!P$59,"")</f>
      </c>
      <c r="R232" s="133">
        <f>IF(AND(X$59="b",Tech!Q$59&lt;&gt;""),Tech!Q$59,"")</f>
      </c>
      <c r="S232" s="133">
        <f>IF(AND(X$59="b",Tech!R$59&lt;&gt;""),Tech!R$59,"")</f>
      </c>
      <c r="T232" s="133">
        <f>IF(AND(X$59="b",Tech!S$59&lt;&gt;""),Tech!S$59,"")</f>
      </c>
      <c r="U232" s="19"/>
    </row>
    <row r="233" spans="8:21" ht="12.75">
      <c r="H233" s="150"/>
      <c r="I233" s="149" t="s">
        <v>34</v>
      </c>
      <c r="J233" s="133">
        <f>+IF(K233="","",(+ABS(IF(K233="",0,K233))+ABS(IF(L233="",0,L233))+ABS(IF(M233="",0,M233))+ABS(IF(N233="",0,N233))+ABS(IF(O233="",0,O233))+ABS(IF(P233="",0,P233))+ABS(IF(Q233="",0,Q233))+ABS(IF(R233="",0,R233))+ABS(IF(S233="",0,S233))+ABS(IF(T233="",0,T233)))/+COUNT(K233:T233))</f>
      </c>
      <c r="K233" s="133">
        <f>IF(X$59="c",Tech!V$59,"")</f>
      </c>
      <c r="L233" s="133">
        <f>IF(X$59="c",Tech!W$59,"")</f>
      </c>
      <c r="M233" s="133">
        <f>IF(AND(X$59="c",Tech!X$59&lt;&gt;""),Tech!X$59,"")</f>
      </c>
      <c r="N233" s="133">
        <f>IF(AND(X$59="c",Tech!Y$59&lt;&gt;""),Tech!Y$59,"")</f>
      </c>
      <c r="O233" s="133">
        <f>IF(AND(X$59="c",Tech!Z$59&lt;&gt;""),Tech!Z$59,"")</f>
      </c>
      <c r="P233" s="133">
        <f>IF(AND(X$59="c",Tech!AA$59&lt;&gt;""),Tech!AA$59,"")</f>
      </c>
      <c r="Q233" s="133">
        <f>IF(AND(X$59="c",Tech!AB$59&lt;&gt;""),Tech!AB$59,"")</f>
      </c>
      <c r="R233" s="133">
        <f>IF(AND(X$59="c",Tech!AC$59&lt;&gt;""),Tech!AC$59,"")</f>
      </c>
      <c r="S233" s="133">
        <f>IF(AND(X$59="c",Tech!AD$59&lt;&gt;""),Tech!AD$59,"")</f>
      </c>
      <c r="T233" s="133">
        <f>IF(AND(X$59="c",Tech!AE$59&lt;&gt;""),Tech!AE$59,"")</f>
      </c>
      <c r="U233" s="19"/>
    </row>
    <row r="234" spans="8:21" ht="12.75">
      <c r="H234" s="150"/>
      <c r="I234" s="149" t="s">
        <v>35</v>
      </c>
      <c r="J234" s="133">
        <f>+IF(K234="","",(+ABS(IF(K234="",0,K234))+ABS(IF(L234="",0,L234))+ABS(IF(M234="",0,M234))+ABS(IF(N234="",0,N234))+ABS(IF(O234="",0,O234))+ABS(IF(P234="",0,P234))+ABS(IF(Q234="",0,Q234))+ABS(IF(R234="",0,R234))+ABS(IF(S234="",0,S234))+ABS(IF(T234="",0,T234)))/+COUNT(K234:T234))</f>
      </c>
      <c r="K234" s="133">
        <f>IF(X$59="c",Tech!AH$59,"")</f>
      </c>
      <c r="L234" s="133">
        <f>IF(X$59="c",Tech!AI$59,"")</f>
      </c>
      <c r="M234" s="133">
        <f>IF(AND(X$59="c",Tech!AJ$59&lt;&gt;""),Tech!AJ$59,"")</f>
      </c>
      <c r="N234" s="133">
        <f>IF(AND(X$59="c",Tech!AK$59&lt;&gt;""),Tech!AK$59,"")</f>
      </c>
      <c r="O234" s="133">
        <f>IF(AND(X$59="c",Tech!AL$59&lt;&gt;""),Tech!AL$59,"")</f>
      </c>
      <c r="P234" s="133">
        <f>IF(AND(X$59="c",Tech!AM$59&lt;&gt;""),Tech!AM$59,"")</f>
      </c>
      <c r="Q234" s="133">
        <f>IF(AND(X$59="c",Tech!AN$59&lt;&gt;""),Tech!AN$59,"")</f>
      </c>
      <c r="R234" s="133">
        <f>IF(AND(X$59="c",Tech!AO$59&lt;&gt;""),Tech!AO$59,"")</f>
      </c>
      <c r="S234" s="133">
        <f>IF(AND(X$59="c",Tech!AP$59&lt;&gt;""),Tech!AP$59,"")</f>
      </c>
      <c r="T234" s="133">
        <f>IF(AND(X$59="c",Tech!AQ$59&lt;&gt;""),Tech!AQ$59,"")</f>
      </c>
      <c r="U234" s="19"/>
    </row>
    <row r="235" spans="8:21" ht="12.75">
      <c r="H235" s="150"/>
      <c r="I235" s="149" t="s">
        <v>33</v>
      </c>
      <c r="J235" s="133">
        <f>+IF(K235="","",(+ABS(IF(K235="",0,K235))+ABS(IF(L235="",0,L235))+ABS(IF(M235="",0,M235))+ABS(IF(N235="",0,N235))+ABS(IF(O235="",0,O235))+ABS(IF(P235="",0,P235))+ABS(IF(Q235="",0,Q235))+ABS(IF(R235="",0,R235))+ABS(IF(S235="",0,S235))+ABS(IF(T235="",0,T235)))/+COUNT(K235:T235))</f>
      </c>
      <c r="K235" s="133">
        <f>IF(X$59="c",Tech!AT$59,"")</f>
      </c>
      <c r="L235" s="133">
        <f>IF(X$59="c",Tech!AU$59,"")</f>
      </c>
      <c r="M235" s="133">
        <f>IF(AND(X$59="c",Tech!AV$59&lt;&gt;""),Tech!AV$59,"")</f>
      </c>
      <c r="N235" s="133">
        <f>IF(AND(X$59="c",Tech!AW$59&lt;&gt;""),Tech!AW$59,"")</f>
      </c>
      <c r="O235" s="133">
        <f>IF(AND(X$59="c",Tech!AX$59&lt;&gt;""),Tech!AX$59,"")</f>
      </c>
      <c r="P235" s="133">
        <f>IF(AND(X$59="c",Tech!AY$59&lt;&gt;""),Tech!AY$59,"")</f>
      </c>
      <c r="Q235" s="133">
        <f>IF(AND(X$59="c",Tech!AZ$59&lt;&gt;""),Tech!AZ$59,"")</f>
      </c>
      <c r="R235" s="133">
        <f>IF(AND(X$59="c",Tech!BA$59&lt;&gt;""),Tech!BA$59,"")</f>
      </c>
      <c r="S235" s="133">
        <f>IF(AND(X$59="c",Tech!BB$59&lt;&gt;""),Tech!BB$59,"")</f>
      </c>
      <c r="T235" s="133">
        <f>IF(AND(X$59="c",Tech!BC$59&lt;&gt;""),Tech!BC$59,"")</f>
      </c>
      <c r="U235" s="19"/>
    </row>
    <row r="236" spans="8:21" ht="12.75">
      <c r="H236" s="144">
        <f>IF(V60="","",V60)</f>
      </c>
      <c r="I236" s="145" t="s">
        <v>32</v>
      </c>
      <c r="J236" s="146" t="s">
        <v>36</v>
      </c>
      <c r="K236" s="133">
        <f>IF($X$60="","",$Y$60*K$15)</f>
      </c>
      <c r="L236" s="133">
        <f aca="true" t="shared" si="52" ref="L236:T236">IF(OR(L$15="",$X$60=""),"",$Y$60*L$15)</f>
      </c>
      <c r="M236" s="133">
        <f t="shared" si="52"/>
      </c>
      <c r="N236" s="133">
        <f t="shared" si="52"/>
      </c>
      <c r="O236" s="133">
        <f t="shared" si="52"/>
      </c>
      <c r="P236" s="133">
        <f t="shared" si="52"/>
      </c>
      <c r="Q236" s="133">
        <f t="shared" si="52"/>
      </c>
      <c r="R236" s="133">
        <f t="shared" si="52"/>
      </c>
      <c r="S236" s="133">
        <f t="shared" si="52"/>
      </c>
      <c r="T236" s="133">
        <f t="shared" si="52"/>
      </c>
      <c r="U236" s="19"/>
    </row>
    <row r="237" spans="8:21" ht="12.75">
      <c r="H237" s="150"/>
      <c r="I237" s="148" t="s">
        <v>29</v>
      </c>
      <c r="J237" s="133">
        <f>+IF(K237="","",(+ABS(IF(K237="",0,K237))+ABS(IF(L237="",0,L237))+ABS(IF(M237="",0,M237))+ABS(IF(N237="",0,N237))+ABS(IF(O237="",0,O237))+ABS(IF(P237="",0,P237))+ABS(IF(Q237="",0,Q237))+ABS(IF(R237="",0,R237))+ABS(IF(S237="",0,S237))+ABS(IF(T237="",0,T237)))/+COUNT(K237:T237))</f>
      </c>
      <c r="K237" s="133">
        <f>IF(X$60="b",Tech!J$60,"")</f>
      </c>
      <c r="L237" s="133">
        <f>IF(X$60="b",Tech!K$60,"")</f>
      </c>
      <c r="M237" s="133">
        <f>IF(AND(X$60="b",Tech!L$60&lt;&gt;""),Tech!L$60,"")</f>
      </c>
      <c r="N237" s="133">
        <f>IF(AND(X$60="b",Tech!M$60&lt;&gt;""),Tech!M$60,"")</f>
      </c>
      <c r="O237" s="133">
        <f>IF(AND(X$60="b",Tech!N$60&lt;&gt;""),Tech!N$60,"")</f>
      </c>
      <c r="P237" s="133">
        <f>IF(AND(X$60="b",Tech!O$60&lt;&gt;""),Tech!O$60,"")</f>
      </c>
      <c r="Q237" s="133">
        <f>IF(AND(X$60="b",Tech!P$60&lt;&gt;""),Tech!P$60,"")</f>
      </c>
      <c r="R237" s="133">
        <f>IF(AND(X$60="b",Tech!Q$60&lt;&gt;""),Tech!Q$60,"")</f>
      </c>
      <c r="S237" s="133">
        <f>IF(AND(X$60="b",Tech!R$60&lt;&gt;""),Tech!R$60,"")</f>
      </c>
      <c r="T237" s="133">
        <f>IF(AND(X$60="b",Tech!S$60&lt;&gt;""),Tech!S$60,"")</f>
      </c>
      <c r="U237" s="19"/>
    </row>
    <row r="238" spans="8:21" ht="12.75">
      <c r="H238" s="150"/>
      <c r="I238" s="149" t="s">
        <v>34</v>
      </c>
      <c r="J238" s="133">
        <f>+IF(K238="","",(+ABS(IF(K238="",0,K238))+ABS(IF(L238="",0,L238))+ABS(IF(M238="",0,M238))+ABS(IF(N238="",0,N238))+ABS(IF(O238="",0,O238))+ABS(IF(P238="",0,P238))+ABS(IF(Q238="",0,Q238))+ABS(IF(R238="",0,R238))+ABS(IF(S238="",0,S238))+ABS(IF(T238="",0,T238)))/+COUNT(K238:T238))</f>
      </c>
      <c r="K238" s="133">
        <f>IF(X$60="c",Tech!V$60,"")</f>
      </c>
      <c r="L238" s="133">
        <f>IF(X$60="c",Tech!W$60,"")</f>
      </c>
      <c r="M238" s="133">
        <f>IF(AND(X$60="c",Tech!X$60&lt;&gt;""),Tech!X$60,"")</f>
      </c>
      <c r="N238" s="133">
        <f>IF(AND(X$60="c",Tech!Y$60&lt;&gt;""),Tech!Y$60,"")</f>
      </c>
      <c r="O238" s="133">
        <f>IF(AND(X$60="c",Tech!Z$60&lt;&gt;""),Tech!Z$60,"")</f>
      </c>
      <c r="P238" s="133">
        <f>IF(AND(X$60="c",Tech!AA$60&lt;&gt;""),Tech!AA$60,"")</f>
      </c>
      <c r="Q238" s="133">
        <f>IF(AND(X$60="c",Tech!AB$60&lt;&gt;""),Tech!AB$60,"")</f>
      </c>
      <c r="R238" s="133">
        <f>IF(AND(X$60="c",Tech!AC$60&lt;&gt;""),Tech!AC$60,"")</f>
      </c>
      <c r="S238" s="133">
        <f>IF(AND(X$60="c",Tech!AD$60&lt;&gt;""),Tech!AD$60,"")</f>
      </c>
      <c r="T238" s="133">
        <f>IF(AND(X$60="c",Tech!AE$60&lt;&gt;""),Tech!AE$60,"")</f>
      </c>
      <c r="U238" s="19"/>
    </row>
    <row r="239" spans="8:21" ht="12.75">
      <c r="H239" s="150"/>
      <c r="I239" s="149" t="s">
        <v>35</v>
      </c>
      <c r="J239" s="133">
        <f>+IF(K239="","",(+ABS(IF(K239="",0,K239))+ABS(IF(L239="",0,L239))+ABS(IF(M239="",0,M239))+ABS(IF(N239="",0,N239))+ABS(IF(O239="",0,O239))+ABS(IF(P239="",0,P239))+ABS(IF(Q239="",0,Q239))+ABS(IF(R239="",0,R239))+ABS(IF(S239="",0,S239))+ABS(IF(T239="",0,T239)))/+COUNT(K239:T239))</f>
      </c>
      <c r="K239" s="133">
        <f>IF(X$60="c",Tech!AH$60,"")</f>
      </c>
      <c r="L239" s="133">
        <f>IF(X$60="c",Tech!AI$60,"")</f>
      </c>
      <c r="M239" s="133">
        <f>IF(AND(X$60="c",Tech!AJ$60&lt;&gt;""),Tech!AJ$60,"")</f>
      </c>
      <c r="N239" s="133">
        <f>IF(AND(X$60="c",Tech!AK$60&lt;&gt;""),Tech!AK$60,"")</f>
      </c>
      <c r="O239" s="133">
        <f>IF(AND(X$60="c",Tech!AL$60&lt;&gt;""),Tech!AL$60,"")</f>
      </c>
      <c r="P239" s="133">
        <f>IF(AND(X$60="c",Tech!AM$60&lt;&gt;""),Tech!AM$60,"")</f>
      </c>
      <c r="Q239" s="133">
        <f>IF(AND(X$60="c",Tech!AN$60&lt;&gt;""),Tech!AN$60,"")</f>
      </c>
      <c r="R239" s="133">
        <f>IF(AND(X$60="c",Tech!AO$60&lt;&gt;""),Tech!AO$60,"")</f>
      </c>
      <c r="S239" s="133">
        <f>IF(AND(X$60="c",Tech!AP$60&lt;&gt;""),Tech!AP$60,"")</f>
      </c>
      <c r="T239" s="133">
        <f>IF(AND(X$60="c",Tech!AQ$60&lt;&gt;""),Tech!AQ$60,"")</f>
      </c>
      <c r="U239" s="19"/>
    </row>
    <row r="240" spans="8:21" ht="12.75">
      <c r="H240" s="150"/>
      <c r="I240" s="149" t="s">
        <v>33</v>
      </c>
      <c r="J240" s="133">
        <f>+IF(K240="","",(+ABS(IF(K240="",0,K240))+ABS(IF(L240="",0,L240))+ABS(IF(M240="",0,M240))+ABS(IF(N240="",0,N240))+ABS(IF(O240="",0,O240))+ABS(IF(P240="",0,P240))+ABS(IF(Q240="",0,Q240))+ABS(IF(R240="",0,R240))+ABS(IF(S240="",0,S240))+ABS(IF(T240="",0,T240)))/+COUNT(K240:T240))</f>
      </c>
      <c r="K240" s="133">
        <f>IF(X$60="c",Tech!AT$60,"")</f>
      </c>
      <c r="L240" s="133">
        <f>IF(X$60="c",Tech!AU$60,"")</f>
      </c>
      <c r="M240" s="133">
        <f>IF(AND(X$60="c",Tech!AV$60&lt;&gt;""),Tech!AV$60,"")</f>
      </c>
      <c r="N240" s="133">
        <f>IF(AND(X$60="c",Tech!AW$60&lt;&gt;""),Tech!AW$60,"")</f>
      </c>
      <c r="O240" s="133">
        <f>IF(AND(X$60="c",Tech!AX$60&lt;&gt;""),Tech!AX$60,"")</f>
      </c>
      <c r="P240" s="133">
        <f>IF(AND(X$60="c",Tech!AY$60&lt;&gt;""),Tech!AY$60,"")</f>
      </c>
      <c r="Q240" s="133">
        <f>IF(AND(X$60="c",Tech!AZ$60&lt;&gt;""),Tech!AZ$60,"")</f>
      </c>
      <c r="R240" s="133">
        <f>IF(AND(X$60="c",Tech!BA$60&lt;&gt;""),Tech!BA$60,"")</f>
      </c>
      <c r="S240" s="133">
        <f>IF(AND(X$60="c",Tech!BB$60&lt;&gt;""),Tech!BB$60,"")</f>
      </c>
      <c r="T240" s="133">
        <f>IF(AND(X$60="c",Tech!BC$60&lt;&gt;""),Tech!BC$60,"")</f>
      </c>
      <c r="U240" s="19"/>
    </row>
    <row r="241" spans="8:21" ht="12.75">
      <c r="H241" s="144">
        <f>IF(V61="","",V61)</f>
      </c>
      <c r="I241" s="145" t="s">
        <v>32</v>
      </c>
      <c r="J241" s="146" t="s">
        <v>36</v>
      </c>
      <c r="K241" s="133">
        <f>IF($X$61="","",$Y$61*K$15)</f>
      </c>
      <c r="L241" s="133">
        <f aca="true" t="shared" si="53" ref="L241:T241">IF(OR(L$15="",$X$61=""),"",$Y$61*L$15)</f>
      </c>
      <c r="M241" s="133">
        <f t="shared" si="53"/>
      </c>
      <c r="N241" s="133">
        <f t="shared" si="53"/>
      </c>
      <c r="O241" s="133">
        <f t="shared" si="53"/>
      </c>
      <c r="P241" s="133">
        <f t="shared" si="53"/>
      </c>
      <c r="Q241" s="133">
        <f t="shared" si="53"/>
      </c>
      <c r="R241" s="133">
        <f t="shared" si="53"/>
      </c>
      <c r="S241" s="133">
        <f t="shared" si="53"/>
      </c>
      <c r="T241" s="133">
        <f t="shared" si="53"/>
      </c>
      <c r="U241" s="19"/>
    </row>
    <row r="242" spans="8:21" ht="12.75">
      <c r="H242" s="150"/>
      <c r="I242" s="148" t="s">
        <v>29</v>
      </c>
      <c r="J242" s="133">
        <f>+IF(K242="","",(+ABS(IF(K242="",0,K242))+ABS(IF(L242="",0,L242))+ABS(IF(M242="",0,M242))+ABS(IF(N242="",0,N242))+ABS(IF(O242="",0,O242))+ABS(IF(P242="",0,P242))+ABS(IF(Q242="",0,Q242))+ABS(IF(R242="",0,R242))+ABS(IF(S242="",0,S242))+ABS(IF(T242="",0,T242)))/+COUNT(K242:T242))</f>
      </c>
      <c r="K242" s="133">
        <f>IF(X$61="b",Tech!J$61,"")</f>
      </c>
      <c r="L242" s="133">
        <f>IF(X$61="b",Tech!K$61,"")</f>
      </c>
      <c r="M242" s="133">
        <f>IF(AND(X$61="b",Tech!L$61&lt;&gt;""),Tech!L$61,"")</f>
      </c>
      <c r="N242" s="133">
        <f>IF(AND(X$61="b",Tech!M$61&lt;&gt;""),Tech!M$61,"")</f>
      </c>
      <c r="O242" s="133">
        <f>IF(AND(X$61="b",Tech!N$61&lt;&gt;""),Tech!N$61,"")</f>
      </c>
      <c r="P242" s="133">
        <f>IF(AND(X$61="b",Tech!O$61&lt;&gt;""),Tech!O$61,"")</f>
      </c>
      <c r="Q242" s="133">
        <f>IF(AND(X$61="b",Tech!P$61&lt;&gt;""),Tech!P$61,"")</f>
      </c>
      <c r="R242" s="133">
        <f>IF(AND(X$61="b",Tech!Q$61&lt;&gt;""),Tech!Q$61,"")</f>
      </c>
      <c r="S242" s="133">
        <f>IF(AND(X$61="b",Tech!R$61&lt;&gt;""),Tech!R$61,"")</f>
      </c>
      <c r="T242" s="133">
        <f>IF(AND(X$61="b",Tech!S$61&lt;&gt;""),Tech!S$61,"")</f>
      </c>
      <c r="U242" s="19"/>
    </row>
    <row r="243" spans="8:21" ht="12.75">
      <c r="H243" s="150"/>
      <c r="I243" s="149" t="s">
        <v>34</v>
      </c>
      <c r="J243" s="133">
        <f>+IF(K243="","",(+ABS(IF(K243="",0,K243))+ABS(IF(L243="",0,L243))+ABS(IF(M243="",0,M243))+ABS(IF(N243="",0,N243))+ABS(IF(O243="",0,O243))+ABS(IF(P243="",0,P243))+ABS(IF(Q243="",0,Q243))+ABS(IF(R243="",0,R243))+ABS(IF(S243="",0,S243))+ABS(IF(T243="",0,T243)))/+COUNT(K243:T243))</f>
      </c>
      <c r="K243" s="133">
        <f>IF(X$61="c",Tech!V$61,"")</f>
      </c>
      <c r="L243" s="133">
        <f>IF(X$61="c",Tech!W$61,"")</f>
      </c>
      <c r="M243" s="133">
        <f>IF(AND(X$61="c",Tech!X$61&lt;&gt;""),Tech!X$61,"")</f>
      </c>
      <c r="N243" s="133">
        <f>IF(AND(X$61="c",Tech!Y$61&lt;&gt;""),Tech!Y$61,"")</f>
      </c>
      <c r="O243" s="133">
        <f>IF(AND(X$61="c",Tech!Z$61&lt;&gt;""),Tech!Z$61,"")</f>
      </c>
      <c r="P243" s="133">
        <f>IF(AND(X$61="c",Tech!AA$61&lt;&gt;""),Tech!AA$61,"")</f>
      </c>
      <c r="Q243" s="133">
        <f>IF(AND(X$61="c",Tech!AB$61&lt;&gt;""),Tech!AB$61,"")</f>
      </c>
      <c r="R243" s="133">
        <f>IF(AND(X$61="c",Tech!AC$61&lt;&gt;""),Tech!AC$61,"")</f>
      </c>
      <c r="S243" s="133">
        <f>IF(AND(X$61="c",Tech!AD$61&lt;&gt;""),Tech!AD$61,"")</f>
      </c>
      <c r="T243" s="133">
        <f>IF(AND(X$61="c",Tech!AE$61&lt;&gt;""),Tech!AE$61,"")</f>
      </c>
      <c r="U243" s="19"/>
    </row>
    <row r="244" spans="8:21" ht="12.75">
      <c r="H244" s="150"/>
      <c r="I244" s="149" t="s">
        <v>35</v>
      </c>
      <c r="J244" s="133">
        <f>+IF(K244="","",(+ABS(IF(K244="",0,K244))+ABS(IF(L244="",0,L244))+ABS(IF(M244="",0,M244))+ABS(IF(N244="",0,N244))+ABS(IF(O244="",0,O244))+ABS(IF(P244="",0,P244))+ABS(IF(Q244="",0,Q244))+ABS(IF(R244="",0,R244))+ABS(IF(S244="",0,S244))+ABS(IF(T244="",0,T244)))/+COUNT(K244:T244))</f>
      </c>
      <c r="K244" s="133">
        <f>IF(X$61="c",Tech!AH$61,"")</f>
      </c>
      <c r="L244" s="133">
        <f>IF(X$61="c",Tech!AI$61,"")</f>
      </c>
      <c r="M244" s="133">
        <f>IF(AND(X$61="c",Tech!AJ$61&lt;&gt;""),Tech!AJ$61,"")</f>
      </c>
      <c r="N244" s="133">
        <f>IF(AND(X$61="c",Tech!AK$61&lt;&gt;""),Tech!AK$61,"")</f>
      </c>
      <c r="O244" s="133">
        <f>IF(AND(X$61="c",Tech!AL$61&lt;&gt;""),Tech!AL$61,"")</f>
      </c>
      <c r="P244" s="133">
        <f>IF(AND(X$61="c",Tech!AM$61&lt;&gt;""),Tech!AM$61,"")</f>
      </c>
      <c r="Q244" s="133">
        <f>IF(AND(X$61="c",Tech!AN$61&lt;&gt;""),Tech!AN$61,"")</f>
      </c>
      <c r="R244" s="133">
        <f>IF(AND(X$61="c",Tech!AO$61&lt;&gt;""),Tech!AO$61,"")</f>
      </c>
      <c r="S244" s="133">
        <f>IF(AND(X$61="c",Tech!AP$61&lt;&gt;""),Tech!AP$61,"")</f>
      </c>
      <c r="T244" s="133">
        <f>IF(AND(X$61="c",Tech!AQ$61&lt;&gt;""),Tech!AQ$61,"")</f>
      </c>
      <c r="U244" s="19"/>
    </row>
    <row r="245" spans="8:21" ht="12.75">
      <c r="H245" s="150"/>
      <c r="I245" s="149" t="s">
        <v>33</v>
      </c>
      <c r="J245" s="133">
        <f>+IF(K245="","",(+ABS(IF(K245="",0,K245))+ABS(IF(L245="",0,L245))+ABS(IF(M245="",0,M245))+ABS(IF(N245="",0,N245))+ABS(IF(O245="",0,O245))+ABS(IF(P245="",0,P245))+ABS(IF(Q245="",0,Q245))+ABS(IF(R245="",0,R245))+ABS(IF(S245="",0,S245))+ABS(IF(T245="",0,T245)))/+COUNT(K245:T245))</f>
      </c>
      <c r="K245" s="133">
        <f>IF(X$61="c",Tech!AT$61,"")</f>
      </c>
      <c r="L245" s="133">
        <f>IF(X$61="c",Tech!AU$61,"")</f>
      </c>
      <c r="M245" s="133">
        <f>IF(AND(X$61="c",Tech!AV$61&lt;&gt;""),Tech!AV$61,"")</f>
      </c>
      <c r="N245" s="133">
        <f>IF(AND(X$61="c",Tech!AW$61&lt;&gt;""),Tech!AW$61,"")</f>
      </c>
      <c r="O245" s="133">
        <f>IF(AND(X$61="c",Tech!AX$61&lt;&gt;""),Tech!AX$61,"")</f>
      </c>
      <c r="P245" s="133">
        <f>IF(AND(X$61="c",Tech!AY$61&lt;&gt;""),Tech!AY$61,"")</f>
      </c>
      <c r="Q245" s="133">
        <f>IF(AND(X$61="c",Tech!AZ$61&lt;&gt;""),Tech!AZ$61,"")</f>
      </c>
      <c r="R245" s="133">
        <f>IF(AND(X$61="c",Tech!BA$61&lt;&gt;""),Tech!BA$61,"")</f>
      </c>
      <c r="S245" s="133">
        <f>IF(AND(X$61="c",Tech!BB$61&lt;&gt;""),Tech!BB$61,"")</f>
      </c>
      <c r="T245" s="133">
        <f>IF(AND(X$61="c",Tech!BC$61&lt;&gt;""),Tech!BC$61,"")</f>
      </c>
      <c r="U245" s="19"/>
    </row>
    <row r="246" spans="8:21" ht="12.75">
      <c r="H246" s="144">
        <f>IF(V62="","",V62)</f>
      </c>
      <c r="I246" s="145" t="s">
        <v>32</v>
      </c>
      <c r="J246" s="146" t="s">
        <v>36</v>
      </c>
      <c r="K246" s="133">
        <f>IF($X$62="","",$Y$62*K$15)</f>
      </c>
      <c r="L246" s="133">
        <f aca="true" t="shared" si="54" ref="L246:T246">IF(OR(L$15="",$X$62=""),"",$Y$62*L$15)</f>
      </c>
      <c r="M246" s="133">
        <f t="shared" si="54"/>
      </c>
      <c r="N246" s="133">
        <f t="shared" si="54"/>
      </c>
      <c r="O246" s="133">
        <f t="shared" si="54"/>
      </c>
      <c r="P246" s="133">
        <f t="shared" si="54"/>
      </c>
      <c r="Q246" s="133">
        <f t="shared" si="54"/>
      </c>
      <c r="R246" s="133">
        <f t="shared" si="54"/>
      </c>
      <c r="S246" s="133">
        <f t="shared" si="54"/>
      </c>
      <c r="T246" s="133">
        <f t="shared" si="54"/>
      </c>
      <c r="U246" s="19"/>
    </row>
    <row r="247" spans="8:21" ht="12.75">
      <c r="H247" s="150"/>
      <c r="I247" s="148" t="s">
        <v>29</v>
      </c>
      <c r="J247" s="133">
        <f>+IF(K247="","",(+ABS(IF(K247="",0,K247))+ABS(IF(L247="",0,L247))+ABS(IF(M247="",0,M247))+ABS(IF(N247="",0,N247))+ABS(IF(O247="",0,O247))+ABS(IF(P247="",0,P247))+ABS(IF(Q247="",0,Q247))+ABS(IF(R247="",0,R247))+ABS(IF(S247="",0,S247))+ABS(IF(T247="",0,T247)))/+COUNT(K247:T247))</f>
      </c>
      <c r="K247" s="133">
        <f>IF(X$62="b",Tech!J$62,"")</f>
      </c>
      <c r="L247" s="133">
        <f>IF(X$62="b",Tech!K$62,"")</f>
      </c>
      <c r="M247" s="133">
        <f>IF(AND(X$62="b",Tech!L$62&lt;&gt;""),Tech!L$62,"")</f>
      </c>
      <c r="N247" s="133">
        <f>IF(AND(X$62="b",Tech!M$62&lt;&gt;""),Tech!M$62,"")</f>
      </c>
      <c r="O247" s="133">
        <f>IF(AND(X$62="b",Tech!N$62&lt;&gt;""),Tech!N$62,"")</f>
      </c>
      <c r="P247" s="133">
        <f>IF(AND(X$62="b",Tech!O$62&lt;&gt;""),Tech!O$62,"")</f>
      </c>
      <c r="Q247" s="133">
        <f>IF(AND(X$62="b",Tech!P$62&lt;&gt;""),Tech!P$62,"")</f>
      </c>
      <c r="R247" s="133">
        <f>IF(AND(X$62="b",Tech!Q$62&lt;&gt;""),Tech!Q$62,"")</f>
      </c>
      <c r="S247" s="133">
        <f>IF(AND(X$62="b",Tech!R$62&lt;&gt;""),Tech!R$62,"")</f>
      </c>
      <c r="T247" s="133">
        <f>IF(AND(X$62="b",Tech!S$62&lt;&gt;""),Tech!S$62,"")</f>
      </c>
      <c r="U247" s="19"/>
    </row>
    <row r="248" spans="8:21" ht="12.75">
      <c r="H248" s="150"/>
      <c r="I248" s="149" t="s">
        <v>34</v>
      </c>
      <c r="J248" s="133">
        <f>+IF(K248="","",(+ABS(IF(K248="",0,K248))+ABS(IF(L248="",0,L248))+ABS(IF(M248="",0,M248))+ABS(IF(N248="",0,N248))+ABS(IF(O248="",0,O248))+ABS(IF(P248="",0,P248))+ABS(IF(Q248="",0,Q248))+ABS(IF(R248="",0,R248))+ABS(IF(S248="",0,S248))+ABS(IF(T248="",0,T248)))/+COUNT(K248:T248))</f>
      </c>
      <c r="K248" s="133">
        <f>IF(X$62="c",Tech!V$62,"")</f>
      </c>
      <c r="L248" s="133">
        <f>IF(X$62="c",Tech!W$62,"")</f>
      </c>
      <c r="M248" s="133">
        <f>IF(AND(X$62="c",Tech!X$62&lt;&gt;""),Tech!X$62,"")</f>
      </c>
      <c r="N248" s="133">
        <f>IF(AND(X$62="c",Tech!Y$62&lt;&gt;""),Tech!Y$62,"")</f>
      </c>
      <c r="O248" s="133">
        <f>IF(AND(X$62="c",Tech!Z$62&lt;&gt;""),Tech!Z$62,"")</f>
      </c>
      <c r="P248" s="133">
        <f>IF(AND(X$62="c",Tech!AA$62&lt;&gt;""),Tech!AA$62,"")</f>
      </c>
      <c r="Q248" s="133">
        <f>IF(AND(X$62="c",Tech!AB$62&lt;&gt;""),Tech!AB$62,"")</f>
      </c>
      <c r="R248" s="133">
        <f>IF(AND(X$62="c",Tech!AC$62&lt;&gt;""),Tech!AC$62,"")</f>
      </c>
      <c r="S248" s="133">
        <f>IF(AND(X$62="c",Tech!AD$62&lt;&gt;""),Tech!AD$62,"")</f>
      </c>
      <c r="T248" s="133">
        <f>IF(AND(X$62="c",Tech!AE$62&lt;&gt;""),Tech!AE$62,"")</f>
      </c>
      <c r="U248" s="19"/>
    </row>
    <row r="249" spans="8:21" ht="12.75">
      <c r="H249" s="150"/>
      <c r="I249" s="149" t="s">
        <v>35</v>
      </c>
      <c r="J249" s="133">
        <f>+IF(K249="","",(+ABS(IF(K249="",0,K249))+ABS(IF(L249="",0,L249))+ABS(IF(M249="",0,M249))+ABS(IF(N249="",0,N249))+ABS(IF(O249="",0,O249))+ABS(IF(P249="",0,P249))+ABS(IF(Q249="",0,Q249))+ABS(IF(R249="",0,R249))+ABS(IF(S249="",0,S249))+ABS(IF(T249="",0,T249)))/+COUNT(K249:T249))</f>
      </c>
      <c r="K249" s="133">
        <f>IF(X$62="c",Tech!AH$62,"")</f>
      </c>
      <c r="L249" s="133">
        <f>IF(X$62="c",Tech!AI$62,"")</f>
      </c>
      <c r="M249" s="133">
        <f>IF(AND(X$62="c",Tech!AJ$62&lt;&gt;""),Tech!AJ$62,"")</f>
      </c>
      <c r="N249" s="133">
        <f>IF(AND(X$62="c",Tech!AK$62&lt;&gt;""),Tech!AK$62,"")</f>
      </c>
      <c r="O249" s="133">
        <f>IF(AND(X$62="c",Tech!AL$62&lt;&gt;""),Tech!AL$62,"")</f>
      </c>
      <c r="P249" s="133">
        <f>IF(AND(X$62="c",Tech!AM$62&lt;&gt;""),Tech!AM$62,"")</f>
      </c>
      <c r="Q249" s="133">
        <f>IF(AND(X$62="c",Tech!AN$62&lt;&gt;""),Tech!AN$62,"")</f>
      </c>
      <c r="R249" s="133">
        <f>IF(AND(X$62="c",Tech!AO$62&lt;&gt;""),Tech!AO$62,"")</f>
      </c>
      <c r="S249" s="133">
        <f>IF(AND(X$62="c",Tech!AP$62&lt;&gt;""),Tech!AP$62,"")</f>
      </c>
      <c r="T249" s="133">
        <f>IF(AND(X$62="c",Tech!AQ$62&lt;&gt;""),Tech!AQ$62,"")</f>
      </c>
      <c r="U249" s="19"/>
    </row>
    <row r="250" spans="8:21" ht="12.75">
      <c r="H250" s="150"/>
      <c r="I250" s="149" t="s">
        <v>33</v>
      </c>
      <c r="J250" s="133">
        <f>+IF(K250="","",(+ABS(IF(K250="",0,K250))+ABS(IF(L250="",0,L250))+ABS(IF(M250="",0,M250))+ABS(IF(N250="",0,N250))+ABS(IF(O250="",0,O250))+ABS(IF(P250="",0,P250))+ABS(IF(Q250="",0,Q250))+ABS(IF(R250="",0,R250))+ABS(IF(S250="",0,S250))+ABS(IF(T250="",0,T250)))/+COUNT(K250:T250))</f>
      </c>
      <c r="K250" s="133">
        <f>IF(X$62="c",Tech!AT$62,"")</f>
      </c>
      <c r="L250" s="133">
        <f>IF(X$62="c",Tech!AU$62,"")</f>
      </c>
      <c r="M250" s="133">
        <f>IF(AND(X$62="c",Tech!AV$62&lt;&gt;""),Tech!AV$62,"")</f>
      </c>
      <c r="N250" s="133">
        <f>IF(AND(X$62="c",Tech!AW$62&lt;&gt;""),Tech!AW$62,"")</f>
      </c>
      <c r="O250" s="133">
        <f>IF(AND(X$62="c",Tech!AX$62&lt;&gt;""),Tech!AX$62,"")</f>
      </c>
      <c r="P250" s="133">
        <f>IF(AND(X$62="c",Tech!AY$62&lt;&gt;""),Tech!AY$62,"")</f>
      </c>
      <c r="Q250" s="133">
        <f>IF(AND(X$62="c",Tech!AZ$62&lt;&gt;""),Tech!AZ$62,"")</f>
      </c>
      <c r="R250" s="133">
        <f>IF(AND(X$62="c",Tech!BA$62&lt;&gt;""),Tech!BA$62,"")</f>
      </c>
      <c r="S250" s="133">
        <f>IF(AND(X$62="c",Tech!BB$62&lt;&gt;""),Tech!BB$62,"")</f>
      </c>
      <c r="T250" s="133">
        <f>IF(AND(X$62="c",Tech!BC$62&lt;&gt;""),Tech!BC$62,"")</f>
      </c>
      <c r="U250" s="19"/>
    </row>
    <row r="251" spans="8:21" ht="12.75">
      <c r="H251" s="144">
        <f>IF(V63="","",V63)</f>
      </c>
      <c r="I251" s="145" t="s">
        <v>32</v>
      </c>
      <c r="J251" s="146" t="s">
        <v>36</v>
      </c>
      <c r="K251" s="133">
        <f>IF($X$63="","",$Y$63*K$15)</f>
      </c>
      <c r="L251" s="133">
        <f aca="true" t="shared" si="55" ref="L251:T251">IF(OR(L$15="",$X$63=""),"",$Y$63*L$15)</f>
      </c>
      <c r="M251" s="133">
        <f t="shared" si="55"/>
      </c>
      <c r="N251" s="133">
        <f t="shared" si="55"/>
      </c>
      <c r="O251" s="133">
        <f t="shared" si="55"/>
      </c>
      <c r="P251" s="133">
        <f t="shared" si="55"/>
      </c>
      <c r="Q251" s="133">
        <f t="shared" si="55"/>
      </c>
      <c r="R251" s="133">
        <f t="shared" si="55"/>
      </c>
      <c r="S251" s="133">
        <f t="shared" si="55"/>
      </c>
      <c r="T251" s="133">
        <f t="shared" si="55"/>
      </c>
      <c r="U251" s="19"/>
    </row>
    <row r="252" spans="8:21" ht="12.75">
      <c r="H252" s="150"/>
      <c r="I252" s="148" t="s">
        <v>29</v>
      </c>
      <c r="J252" s="133">
        <f>+IF(K252="","",(+ABS(IF(K252="",0,K252))+ABS(IF(L252="",0,L252))+ABS(IF(M252="",0,M252))+ABS(IF(N252="",0,N252))+ABS(IF(O252="",0,O252))+ABS(IF(P252="",0,P252))+ABS(IF(Q252="",0,Q252))+ABS(IF(R252="",0,R252))+ABS(IF(S252="",0,S252))+ABS(IF(T252="",0,T252)))/+COUNT(K252:T252))</f>
      </c>
      <c r="K252" s="133">
        <f>IF(X$63="b",Tech!J$63,"")</f>
      </c>
      <c r="L252" s="133">
        <f>IF(X$63="b",Tech!K$63,"")</f>
      </c>
      <c r="M252" s="133">
        <f>IF(AND(X$63="b",Tech!L$63&lt;&gt;""),Tech!L$63,"")</f>
      </c>
      <c r="N252" s="133">
        <f>IF(AND(X$63="b",Tech!M$63&lt;&gt;""),Tech!M$63,"")</f>
      </c>
      <c r="O252" s="133">
        <f>IF(AND(X$63="b",Tech!N$63&lt;&gt;""),Tech!N$63,"")</f>
      </c>
      <c r="P252" s="133">
        <f>IF(AND(X$63="b",Tech!O$63&lt;&gt;""),Tech!O$63,"")</f>
      </c>
      <c r="Q252" s="133">
        <f>IF(AND(X$63="b",Tech!P$63&lt;&gt;""),Tech!P$63,"")</f>
      </c>
      <c r="R252" s="133">
        <f>IF(AND(X$63="b",Tech!Q$63&lt;&gt;""),Tech!Q$63,"")</f>
      </c>
      <c r="S252" s="133">
        <f>IF(AND(X$63="b",Tech!R$63&lt;&gt;""),Tech!R$63,"")</f>
      </c>
      <c r="T252" s="133">
        <f>IF(AND(X$63="b",Tech!S$63&lt;&gt;""),Tech!S$63,"")</f>
      </c>
      <c r="U252" s="19"/>
    </row>
    <row r="253" spans="8:21" ht="12.75">
      <c r="H253" s="150"/>
      <c r="I253" s="149" t="s">
        <v>34</v>
      </c>
      <c r="J253" s="133">
        <f>+IF(K253="","",(+ABS(IF(K253="",0,K253))+ABS(IF(L253="",0,L253))+ABS(IF(M253="",0,M253))+ABS(IF(N253="",0,N253))+ABS(IF(O253="",0,O253))+ABS(IF(P253="",0,P253))+ABS(IF(Q253="",0,Q253))+ABS(IF(R253="",0,R253))+ABS(IF(S253="",0,S253))+ABS(IF(T253="",0,T253)))/+COUNT(K253:T253))</f>
      </c>
      <c r="K253" s="133">
        <f>IF(X$63="c",Tech!V$63,"")</f>
      </c>
      <c r="L253" s="133">
        <f>IF(X$63="c",Tech!W$63,"")</f>
      </c>
      <c r="M253" s="133">
        <f>IF(AND(X$63="c",Tech!X$63&lt;&gt;""),Tech!X$63,"")</f>
      </c>
      <c r="N253" s="133">
        <f>IF(AND(X$63="c",Tech!Y$63&lt;&gt;""),Tech!Y$63,"")</f>
      </c>
      <c r="O253" s="133">
        <f>IF(AND(X$63="c",Tech!Z$63&lt;&gt;""),Tech!Z$63,"")</f>
      </c>
      <c r="P253" s="133">
        <f>IF(AND(X$63="c",Tech!AA$63&lt;&gt;""),Tech!AA$63,"")</f>
      </c>
      <c r="Q253" s="133">
        <f>IF(AND(X$63="c",Tech!AB$63&lt;&gt;""),Tech!AB$63,"")</f>
      </c>
      <c r="R253" s="133">
        <f>IF(AND(X$63="c",Tech!AC$63&lt;&gt;""),Tech!AC$63,"")</f>
      </c>
      <c r="S253" s="133">
        <f>IF(AND(X$63="c",Tech!AD$63&lt;&gt;""),Tech!AD$63,"")</f>
      </c>
      <c r="T253" s="133">
        <f>IF(AND(X$63="c",Tech!AE$63&lt;&gt;""),Tech!AE$63,"")</f>
      </c>
      <c r="U253" s="19"/>
    </row>
    <row r="254" spans="8:21" ht="12.75">
      <c r="H254" s="150"/>
      <c r="I254" s="149" t="s">
        <v>35</v>
      </c>
      <c r="J254" s="133">
        <f>+IF(K254="","",(+ABS(IF(K254="",0,K254))+ABS(IF(L254="",0,L254))+ABS(IF(M254="",0,M254))+ABS(IF(N254="",0,N254))+ABS(IF(O254="",0,O254))+ABS(IF(P254="",0,P254))+ABS(IF(Q254="",0,Q254))+ABS(IF(R254="",0,R254))+ABS(IF(S254="",0,S254))+ABS(IF(T254="",0,T254)))/+COUNT(K254:T254))</f>
      </c>
      <c r="K254" s="133">
        <f>IF(X$63="c",Tech!AH$63,"")</f>
      </c>
      <c r="L254" s="133">
        <f>IF(X$63="c",Tech!AI$63,"")</f>
      </c>
      <c r="M254" s="133">
        <f>IF(AND(X$63="c",Tech!AJ$63&lt;&gt;""),Tech!AJ$63,"")</f>
      </c>
      <c r="N254" s="133">
        <f>IF(AND(X$63="c",Tech!AK$63&lt;&gt;""),Tech!AK$63,"")</f>
      </c>
      <c r="O254" s="133">
        <f>IF(AND(X$63="c",Tech!AL$63&lt;&gt;""),Tech!AL$63,"")</f>
      </c>
      <c r="P254" s="133">
        <f>IF(AND(X$63="c",Tech!AM$63&lt;&gt;""),Tech!AM$63,"")</f>
      </c>
      <c r="Q254" s="133">
        <f>IF(AND(X$63="c",Tech!AN$63&lt;&gt;""),Tech!AN$63,"")</f>
      </c>
      <c r="R254" s="133">
        <f>IF(AND(X$63="c",Tech!AO$63&lt;&gt;""),Tech!AO$63,"")</f>
      </c>
      <c r="S254" s="133">
        <f>IF(AND(X$63="c",Tech!AP$63&lt;&gt;""),Tech!AP$63,"")</f>
      </c>
      <c r="T254" s="133">
        <f>IF(AND(X$63="c",Tech!AQ$63&lt;&gt;""),Tech!AQ$63,"")</f>
      </c>
      <c r="U254" s="19"/>
    </row>
    <row r="255" spans="8:21" ht="12.75">
      <c r="H255" s="150"/>
      <c r="I255" s="149" t="s">
        <v>33</v>
      </c>
      <c r="J255" s="133">
        <f>+IF(K255="","",(+ABS(IF(K255="",0,K255))+ABS(IF(L255="",0,L255))+ABS(IF(M255="",0,M255))+ABS(IF(N255="",0,N255))+ABS(IF(O255="",0,O255))+ABS(IF(P255="",0,P255))+ABS(IF(Q255="",0,Q255))+ABS(IF(R255="",0,R255))+ABS(IF(S255="",0,S255))+ABS(IF(T255="",0,T255)))/+COUNT(K255:T255))</f>
      </c>
      <c r="K255" s="133">
        <f>IF(X$63="c",Tech!AT$63,"")</f>
      </c>
      <c r="L255" s="133">
        <f>IF(X$63="c",Tech!AU$63,"")</f>
      </c>
      <c r="M255" s="133">
        <f>IF(AND(X$63="c",Tech!AV$63&lt;&gt;""),Tech!AV$63,"")</f>
      </c>
      <c r="N255" s="133">
        <f>IF(AND(X$63="c",Tech!AW$63&lt;&gt;""),Tech!AW$63,"")</f>
      </c>
      <c r="O255" s="133">
        <f>IF(AND(X$63="c",Tech!AX$63&lt;&gt;""),Tech!AX$63,"")</f>
      </c>
      <c r="P255" s="133">
        <f>IF(AND(X$63="c",Tech!AY$63&lt;&gt;""),Tech!AY$63,"")</f>
      </c>
      <c r="Q255" s="133">
        <f>IF(AND(X$63="c",Tech!AZ$63&lt;&gt;""),Tech!AZ$63,"")</f>
      </c>
      <c r="R255" s="133">
        <f>IF(AND(X$63="c",Tech!BA$63&lt;&gt;""),Tech!BA$63,"")</f>
      </c>
      <c r="S255" s="133">
        <f>IF(AND(X$63="c",Tech!BB$63&lt;&gt;""),Tech!BB$63,"")</f>
      </c>
      <c r="T255" s="133">
        <f>IF(AND(X$63="c",Tech!BC$63&lt;&gt;""),Tech!BC$63,"")</f>
      </c>
      <c r="U255" s="19"/>
    </row>
    <row r="256" spans="8:21" ht="12.75">
      <c r="H256" s="144">
        <f>IF(V64="","",V64)</f>
      </c>
      <c r="I256" s="145" t="s">
        <v>32</v>
      </c>
      <c r="J256" s="146" t="s">
        <v>36</v>
      </c>
      <c r="K256" s="133">
        <f>IF($X$64="","",$Y$64*K$15)</f>
      </c>
      <c r="L256" s="133">
        <f aca="true" t="shared" si="56" ref="L256:T256">IF(OR(L$15="",$X$64=""),"",$Y$64*L$15)</f>
      </c>
      <c r="M256" s="133">
        <f t="shared" si="56"/>
      </c>
      <c r="N256" s="133">
        <f t="shared" si="56"/>
      </c>
      <c r="O256" s="133">
        <f t="shared" si="56"/>
      </c>
      <c r="P256" s="133">
        <f t="shared" si="56"/>
      </c>
      <c r="Q256" s="133">
        <f t="shared" si="56"/>
      </c>
      <c r="R256" s="133">
        <f t="shared" si="56"/>
      </c>
      <c r="S256" s="133">
        <f t="shared" si="56"/>
      </c>
      <c r="T256" s="133">
        <f t="shared" si="56"/>
      </c>
      <c r="U256" s="19"/>
    </row>
    <row r="257" spans="8:21" ht="12.75">
      <c r="H257" s="150"/>
      <c r="I257" s="148" t="s">
        <v>29</v>
      </c>
      <c r="J257" s="133">
        <f>+IF(K257="","",(+ABS(IF(K257="",0,K257))+ABS(IF(L257="",0,L257))+ABS(IF(M257="",0,M257))+ABS(IF(N257="",0,N257))+ABS(IF(O257="",0,O257))+ABS(IF(P257="",0,P257))+ABS(IF(Q257="",0,Q257))+ABS(IF(R257="",0,R257))+ABS(IF(S257="",0,S257))+ABS(IF(T257="",0,T257)))/+COUNT(K257:T257))</f>
      </c>
      <c r="K257" s="133">
        <f>IF(X$64="b",Tech!J$64,"")</f>
      </c>
      <c r="L257" s="133">
        <f>IF(X$64="b",Tech!K$64,"")</f>
      </c>
      <c r="M257" s="133">
        <f>IF(AND(X$64="b",Tech!L$64&lt;&gt;""),Tech!L$64,"")</f>
      </c>
      <c r="N257" s="133">
        <f>IF(AND(X$64="b",Tech!M$64&lt;&gt;""),Tech!M$64,"")</f>
      </c>
      <c r="O257" s="133">
        <f>IF(AND(X$64="b",Tech!N$64&lt;&gt;""),Tech!N$64,"")</f>
      </c>
      <c r="P257" s="133">
        <f>IF(AND(X$64="b",Tech!O$64&lt;&gt;""),Tech!O$64,"")</f>
      </c>
      <c r="Q257" s="133">
        <f>IF(AND(X$64="b",Tech!P$64&lt;&gt;""),Tech!P$64,"")</f>
      </c>
      <c r="R257" s="133">
        <f>IF(AND(X$64="b",Tech!Q$64&lt;&gt;""),Tech!Q$64,"")</f>
      </c>
      <c r="S257" s="133">
        <f>IF(AND(X$64="b",Tech!R$64&lt;&gt;""),Tech!R$64,"")</f>
      </c>
      <c r="T257" s="133">
        <f>IF(AND(X$64="b",Tech!S$64&lt;&gt;""),Tech!S$64,"")</f>
      </c>
      <c r="U257" s="19"/>
    </row>
    <row r="258" spans="8:21" ht="12.75">
      <c r="H258" s="150"/>
      <c r="I258" s="149" t="s">
        <v>34</v>
      </c>
      <c r="J258" s="133">
        <f>+IF(K258="","",(+ABS(IF(K258="",0,K258))+ABS(IF(L258="",0,L258))+ABS(IF(M258="",0,M258))+ABS(IF(N258="",0,N258))+ABS(IF(O258="",0,O258))+ABS(IF(P258="",0,P258))+ABS(IF(Q258="",0,Q258))+ABS(IF(R258="",0,R258))+ABS(IF(S258="",0,S258))+ABS(IF(T258="",0,T258)))/+COUNT(K258:T258))</f>
      </c>
      <c r="K258" s="133">
        <f>IF(X$64="c",Tech!V$64,"")</f>
      </c>
      <c r="L258" s="133">
        <f>IF(X$64="c",Tech!W$64,"")</f>
      </c>
      <c r="M258" s="133">
        <f>IF(AND(X$64="c",Tech!X$64&lt;&gt;""),Tech!X$64,"")</f>
      </c>
      <c r="N258" s="133">
        <f>IF(AND(X$64="c",Tech!Y$64&lt;&gt;""),Tech!Y$64,"")</f>
      </c>
      <c r="O258" s="133">
        <f>IF(AND(X$64="c",Tech!Z$64&lt;&gt;""),Tech!Z$64,"")</f>
      </c>
      <c r="P258" s="133">
        <f>IF(AND(X$64="c",Tech!AA$64&lt;&gt;""),Tech!AA$64,"")</f>
      </c>
      <c r="Q258" s="133">
        <f>IF(AND(X$64="c",Tech!AB$64&lt;&gt;""),Tech!AB$64,"")</f>
      </c>
      <c r="R258" s="133">
        <f>IF(AND(X$64="c",Tech!AC$64&lt;&gt;""),Tech!AC$64,"")</f>
      </c>
      <c r="S258" s="133">
        <f>IF(AND(X$64="c",Tech!AD$64&lt;&gt;""),Tech!AD$64,"")</f>
      </c>
      <c r="T258" s="133">
        <f>IF(AND(X$64="c",Tech!AE$64&lt;&gt;""),Tech!AE$64,"")</f>
      </c>
      <c r="U258" s="19"/>
    </row>
    <row r="259" spans="8:21" ht="12.75">
      <c r="H259" s="150"/>
      <c r="I259" s="149" t="s">
        <v>35</v>
      </c>
      <c r="J259" s="133">
        <f>+IF(K259="","",(+ABS(IF(K259="",0,K259))+ABS(IF(L259="",0,L259))+ABS(IF(M259="",0,M259))+ABS(IF(N259="",0,N259))+ABS(IF(O259="",0,O259))+ABS(IF(P259="",0,P259))+ABS(IF(Q259="",0,Q259))+ABS(IF(R259="",0,R259))+ABS(IF(S259="",0,S259))+ABS(IF(T259="",0,T259)))/+COUNT(K259:T259))</f>
      </c>
      <c r="K259" s="133">
        <f>IF(X$64="c",Tech!AH$64,"")</f>
      </c>
      <c r="L259" s="133">
        <f>IF(X$64="c",Tech!AI$64,"")</f>
      </c>
      <c r="M259" s="133">
        <f>IF(AND(X$64="c",Tech!AJ$64&lt;&gt;""),Tech!AJ$64,"")</f>
      </c>
      <c r="N259" s="133">
        <f>IF(AND(X$64="c",Tech!AK$64&lt;&gt;""),Tech!AK$64,"")</f>
      </c>
      <c r="O259" s="133">
        <f>IF(AND(X$64="c",Tech!AL$64&lt;&gt;""),Tech!AL$64,"")</f>
      </c>
      <c r="P259" s="133">
        <f>IF(AND(X$64="c",Tech!AM$64&lt;&gt;""),Tech!AM$64,"")</f>
      </c>
      <c r="Q259" s="133">
        <f>IF(AND(X$64="c",Tech!AN$64&lt;&gt;""),Tech!AN$64,"")</f>
      </c>
      <c r="R259" s="133">
        <f>IF(AND(X$64="c",Tech!AO$64&lt;&gt;""),Tech!AO$64,"")</f>
      </c>
      <c r="S259" s="133">
        <f>IF(AND(X$64="c",Tech!AP$64&lt;&gt;""),Tech!AP$64,"")</f>
      </c>
      <c r="T259" s="133">
        <f>IF(AND(X$64="c",Tech!AQ$64&lt;&gt;""),Tech!AQ$64,"")</f>
      </c>
      <c r="U259" s="19"/>
    </row>
    <row r="260" spans="8:21" ht="12.75">
      <c r="H260" s="150"/>
      <c r="I260" s="149" t="s">
        <v>33</v>
      </c>
      <c r="J260" s="133">
        <f>+IF(K260="","",(+ABS(IF(K260="",0,K260))+ABS(IF(L260="",0,L260))+ABS(IF(M260="",0,M260))+ABS(IF(N260="",0,N260))+ABS(IF(O260="",0,O260))+ABS(IF(P260="",0,P260))+ABS(IF(Q260="",0,Q260))+ABS(IF(R260="",0,R260))+ABS(IF(S260="",0,S260))+ABS(IF(T260="",0,T260)))/+COUNT(K260:T260))</f>
      </c>
      <c r="K260" s="133">
        <f>IF(X$64="c",Tech!AT$64,"")</f>
      </c>
      <c r="L260" s="133">
        <f>IF(X$64="c",Tech!AU$64,"")</f>
      </c>
      <c r="M260" s="133">
        <f>IF(AND(X$64="c",Tech!AV$64&lt;&gt;""),Tech!AV$64,"")</f>
      </c>
      <c r="N260" s="133">
        <f>IF(AND(X$64="c",Tech!AW$64&lt;&gt;""),Tech!AW$64,"")</f>
      </c>
      <c r="O260" s="133">
        <f>IF(AND(X$64="c",Tech!AX$64&lt;&gt;""),Tech!AX$64,"")</f>
      </c>
      <c r="P260" s="133">
        <f>IF(AND(X$64="c",Tech!AY$64&lt;&gt;""),Tech!AY$64,"")</f>
      </c>
      <c r="Q260" s="133">
        <f>IF(AND(X$64="c",Tech!AZ$64&lt;&gt;""),Tech!AZ$64,"")</f>
      </c>
      <c r="R260" s="133">
        <f>IF(AND(X$64="c",Tech!BA$64&lt;&gt;""),Tech!BA$64,"")</f>
      </c>
      <c r="S260" s="133">
        <f>IF(AND(X$64="c",Tech!BB$64&lt;&gt;""),Tech!BB$64,"")</f>
      </c>
      <c r="T260" s="133">
        <f>IF(AND(X$64="c",Tech!BC$64&lt;&gt;""),Tech!BC$64,"")</f>
      </c>
      <c r="U260" s="19"/>
    </row>
    <row r="261" spans="8:21" ht="12.75">
      <c r="H261" s="144">
        <f>IF(V65="","",V65)</f>
      </c>
      <c r="I261" s="145" t="s">
        <v>32</v>
      </c>
      <c r="J261" s="146" t="s">
        <v>36</v>
      </c>
      <c r="K261" s="133">
        <f>IF($X$65="","",$Y$65*K$15)</f>
      </c>
      <c r="L261" s="133">
        <f aca="true" t="shared" si="57" ref="L261:T261">IF(OR(L$15="",$X$65=""),"",$Y$65*L$15)</f>
      </c>
      <c r="M261" s="133">
        <f t="shared" si="57"/>
      </c>
      <c r="N261" s="133">
        <f t="shared" si="57"/>
      </c>
      <c r="O261" s="133">
        <f t="shared" si="57"/>
      </c>
      <c r="P261" s="133">
        <f t="shared" si="57"/>
      </c>
      <c r="Q261" s="133">
        <f t="shared" si="57"/>
      </c>
      <c r="R261" s="133">
        <f t="shared" si="57"/>
      </c>
      <c r="S261" s="133">
        <f t="shared" si="57"/>
      </c>
      <c r="T261" s="133">
        <f t="shared" si="57"/>
      </c>
      <c r="U261" s="19"/>
    </row>
    <row r="262" spans="8:21" ht="12.75">
      <c r="H262" s="150"/>
      <c r="I262" s="148" t="s">
        <v>29</v>
      </c>
      <c r="J262" s="133">
        <f>+IF(K262="","",(+ABS(IF(K262="",0,K262))+ABS(IF(L262="",0,L262))+ABS(IF(M262="",0,M262))+ABS(IF(N262="",0,N262))+ABS(IF(O262="",0,O262))+ABS(IF(P262="",0,P262))+ABS(IF(Q262="",0,Q262))+ABS(IF(R262="",0,R262))+ABS(IF(S262="",0,S262))+ABS(IF(T262="",0,T262)))/+COUNT(K262:T262))</f>
      </c>
      <c r="K262" s="133">
        <f>IF(X$65="b",Tech!J$65,"")</f>
      </c>
      <c r="L262" s="133">
        <f>IF(X$65="b",Tech!K$65,"")</f>
      </c>
      <c r="M262" s="133">
        <f>IF(AND(X$65="b",Tech!L$65&lt;&gt;""),Tech!L$65,"")</f>
      </c>
      <c r="N262" s="133">
        <f>IF(AND(X$65="b",Tech!M$65&lt;&gt;""),Tech!M$65,"")</f>
      </c>
      <c r="O262" s="133">
        <f>IF(AND(X$65="b",Tech!N$65&lt;&gt;""),Tech!N$65,"")</f>
      </c>
      <c r="P262" s="133">
        <f>IF(AND(X$65="b",Tech!O$65&lt;&gt;""),Tech!O$65,"")</f>
      </c>
      <c r="Q262" s="133">
        <f>IF(AND(X$65="b",Tech!P$65&lt;&gt;""),Tech!P$65,"")</f>
      </c>
      <c r="R262" s="133">
        <f>IF(AND(X$65="b",Tech!Q$65&lt;&gt;""),Tech!Q$65,"")</f>
      </c>
      <c r="S262" s="133">
        <f>IF(AND(X$65="b",Tech!R$65&lt;&gt;""),Tech!R$65,"")</f>
      </c>
      <c r="T262" s="133">
        <f>IF(AND(X$65="b",Tech!S$65&lt;&gt;""),Tech!S$65,"")</f>
      </c>
      <c r="U262" s="19"/>
    </row>
    <row r="263" spans="8:21" ht="12.75">
      <c r="H263" s="150"/>
      <c r="I263" s="149" t="s">
        <v>34</v>
      </c>
      <c r="J263" s="133">
        <f>+IF(K263="","",(+ABS(IF(K263="",0,K263))+ABS(IF(L263="",0,L263))+ABS(IF(M263="",0,M263))+ABS(IF(N263="",0,N263))+ABS(IF(O263="",0,O263))+ABS(IF(P263="",0,P263))+ABS(IF(Q263="",0,Q263))+ABS(IF(R263="",0,R263))+ABS(IF(S263="",0,S263))+ABS(IF(T263="",0,T263)))/+COUNT(K263:T263))</f>
      </c>
      <c r="K263" s="133">
        <f>IF(X$65="c",Tech!V$65,"")</f>
      </c>
      <c r="L263" s="133">
        <f>IF(X$65="c",Tech!W$65,"")</f>
      </c>
      <c r="M263" s="133">
        <f>IF(AND(X$65="c",Tech!X$65&lt;&gt;""),Tech!X$65,"")</f>
      </c>
      <c r="N263" s="133">
        <f>IF(AND(X$65="c",Tech!Y$65&lt;&gt;""),Tech!Y$65,"")</f>
      </c>
      <c r="O263" s="133">
        <f>IF(AND(X$65="c",Tech!Z$65&lt;&gt;""),Tech!Z$65,"")</f>
      </c>
      <c r="P263" s="133">
        <f>IF(AND(X$65="c",Tech!AA$65&lt;&gt;""),Tech!AA$65,"")</f>
      </c>
      <c r="Q263" s="133">
        <f>IF(AND(X$65="c",Tech!AB$65&lt;&gt;""),Tech!AB$65,"")</f>
      </c>
      <c r="R263" s="133">
        <f>IF(AND(X$65="c",Tech!AC$65&lt;&gt;""),Tech!AC$65,"")</f>
      </c>
      <c r="S263" s="133">
        <f>IF(AND(X$65="c",Tech!AD$65&lt;&gt;""),Tech!AD$65,"")</f>
      </c>
      <c r="T263" s="133">
        <f>IF(AND(X$65="c",Tech!AE$65&lt;&gt;""),Tech!AE$65,"")</f>
      </c>
      <c r="U263" s="19"/>
    </row>
    <row r="264" spans="8:21" ht="12.75">
      <c r="H264" s="150"/>
      <c r="I264" s="149" t="s">
        <v>35</v>
      </c>
      <c r="J264" s="133">
        <f>+IF(K264="","",(+ABS(IF(K264="",0,K264))+ABS(IF(L264="",0,L264))+ABS(IF(M264="",0,M264))+ABS(IF(N264="",0,N264))+ABS(IF(O264="",0,O264))+ABS(IF(P264="",0,P264))+ABS(IF(Q264="",0,Q264))+ABS(IF(R264="",0,R264))+ABS(IF(S264="",0,S264))+ABS(IF(T264="",0,T264)))/+COUNT(K264:T264))</f>
      </c>
      <c r="K264" s="133">
        <f>IF(X$65="c",Tech!AH$65,"")</f>
      </c>
      <c r="L264" s="133">
        <f>IF(X$65="c",Tech!AI$65,"")</f>
      </c>
      <c r="M264" s="133">
        <f>IF(AND(X$65="c",Tech!AJ$65&lt;&gt;""),Tech!AJ$65,"")</f>
      </c>
      <c r="N264" s="133">
        <f>IF(AND(X$65="c",Tech!AK$65&lt;&gt;""),Tech!AK$65,"")</f>
      </c>
      <c r="O264" s="133">
        <f>IF(AND(X$65="c",Tech!AL$65&lt;&gt;""),Tech!AL$65,"")</f>
      </c>
      <c r="P264" s="133">
        <f>IF(AND(X$65="c",Tech!AM$65&lt;&gt;""),Tech!AM$65,"")</f>
      </c>
      <c r="Q264" s="133">
        <f>IF(AND(X$65="c",Tech!AN$65&lt;&gt;""),Tech!AN$65,"")</f>
      </c>
      <c r="R264" s="133">
        <f>IF(AND(X$65="c",Tech!AO$65&lt;&gt;""),Tech!AO$65,"")</f>
      </c>
      <c r="S264" s="133">
        <f>IF(AND(X$65="c",Tech!AP$65&lt;&gt;""),Tech!AP$65,"")</f>
      </c>
      <c r="T264" s="133">
        <f>IF(AND(X$65="c",Tech!AQ$65&lt;&gt;""),Tech!AQ$65,"")</f>
      </c>
      <c r="U264" s="19"/>
    </row>
    <row r="265" spans="8:21" ht="12.75">
      <c r="H265" s="151"/>
      <c r="I265" s="152" t="s">
        <v>33</v>
      </c>
      <c r="J265" s="135">
        <f>+IF(K265="","",(+ABS(IF(K265="",0,K265))+ABS(IF(L265="",0,L265))+ABS(IF(M265="",0,M265))+ABS(IF(N265="",0,N265))+ABS(IF(O265="",0,O265))+ABS(IF(P265="",0,P265))+ABS(IF(Q265="",0,Q265))+ABS(IF(R265="",0,R265))+ABS(IF(S265="",0,S265))+ABS(IF(T265="",0,T265)))/+COUNT(K265:T265))</f>
      </c>
      <c r="K265" s="135">
        <f>IF(X$65="c",Tech!AT$65,"")</f>
      </c>
      <c r="L265" s="135">
        <f>IF(X$65="c",Tech!AU$65,"")</f>
      </c>
      <c r="M265" s="135">
        <f>IF(AND(X$65="c",Tech!AV$65&lt;&gt;""),Tech!AV$65,"")</f>
      </c>
      <c r="N265" s="135">
        <f>IF(AND(X$65="c",Tech!AW$65&lt;&gt;""),Tech!AW$65,"")</f>
      </c>
      <c r="O265" s="135">
        <f>IF(AND(X$65="c",Tech!AX$65&lt;&gt;""),Tech!AX$65,"")</f>
      </c>
      <c r="P265" s="135">
        <f>IF(AND(X$65="c",Tech!AY$65&lt;&gt;""),Tech!AY$65,"")</f>
      </c>
      <c r="Q265" s="135">
        <f>IF(AND(X$65="c",Tech!AZ$65&lt;&gt;""),Tech!AZ$65,"")</f>
      </c>
      <c r="R265" s="135">
        <f>IF(AND(X$65="c",Tech!BA$65&lt;&gt;""),Tech!BA$65,"")</f>
      </c>
      <c r="S265" s="135">
        <f>IF(AND(X$65="c",Tech!BB$65&lt;&gt;""),Tech!BB$65,"")</f>
      </c>
      <c r="T265" s="135">
        <f>IF(AND(X$65="c",Tech!BC$65&lt;&gt;""),Tech!BC$65,"")</f>
      </c>
      <c r="U265" s="19"/>
    </row>
    <row r="266" spans="8:21" ht="12.75">
      <c r="H266" s="19"/>
      <c r="I266" s="19"/>
      <c r="J266" s="82"/>
      <c r="K266" s="153"/>
      <c r="U266" s="19"/>
    </row>
    <row r="267" spans="10:21" ht="12.75">
      <c r="J267" s="82"/>
      <c r="U267" s="19"/>
    </row>
    <row r="268" spans="10:21" ht="12.75">
      <c r="J268" s="82"/>
      <c r="U268" s="19"/>
    </row>
    <row r="269" spans="10:21" ht="12.75">
      <c r="J269" s="82"/>
      <c r="U269" s="19"/>
    </row>
    <row r="270" spans="10:21" ht="12.75">
      <c r="J270" s="82"/>
      <c r="U270" s="19"/>
    </row>
    <row r="271" spans="10:21" ht="12.75">
      <c r="J271" s="82"/>
      <c r="U271" s="19"/>
    </row>
    <row r="272" spans="10:21" ht="12.75">
      <c r="J272" s="82"/>
      <c r="U272" s="19"/>
    </row>
    <row r="273" spans="10:21" ht="12.75">
      <c r="J273" s="82"/>
      <c r="U273" s="19"/>
    </row>
    <row r="274" spans="10:21" ht="12.75">
      <c r="J274" s="82"/>
      <c r="U274" s="19"/>
    </row>
    <row r="275" spans="10:21" ht="12.75">
      <c r="J275" s="82"/>
      <c r="U275" s="19"/>
    </row>
    <row r="276" ht="12.75">
      <c r="U276" s="19"/>
    </row>
    <row r="277" ht="12.75">
      <c r="U277" s="19"/>
    </row>
    <row r="278" ht="12.75">
      <c r="U278" s="19"/>
    </row>
    <row r="279" ht="12.75">
      <c r="U279" s="19"/>
    </row>
    <row r="280" ht="12.75">
      <c r="U280" s="19"/>
    </row>
    <row r="281" ht="12.75">
      <c r="U281" s="19"/>
    </row>
    <row r="282" ht="12.75">
      <c r="U282" s="19"/>
    </row>
    <row r="283" ht="12.75">
      <c r="U283" s="19"/>
    </row>
    <row r="284" ht="12.75">
      <c r="U284" s="19"/>
    </row>
    <row r="285" ht="12.75">
      <c r="U285" s="19"/>
    </row>
    <row r="286" ht="12.75">
      <c r="U286" s="19"/>
    </row>
    <row r="287" ht="12.75">
      <c r="U287" s="19"/>
    </row>
    <row r="288" ht="12.75">
      <c r="U288" s="19"/>
    </row>
    <row r="289" ht="12.75">
      <c r="U289" s="19"/>
    </row>
    <row r="290" ht="12.75">
      <c r="U290" s="19"/>
    </row>
    <row r="291" ht="12.75">
      <c r="U291" s="19"/>
    </row>
    <row r="292" ht="12.75">
      <c r="U292" s="19"/>
    </row>
    <row r="293" ht="12.75">
      <c r="U293" s="19"/>
    </row>
    <row r="294" ht="12.75">
      <c r="U294" s="19"/>
    </row>
    <row r="295" ht="12.75">
      <c r="U295" s="19"/>
    </row>
    <row r="296" ht="12.75">
      <c r="U296" s="19"/>
    </row>
    <row r="297" ht="12.75">
      <c r="U297" s="19"/>
    </row>
    <row r="298" ht="12.75">
      <c r="U298" s="19"/>
    </row>
    <row r="299" ht="12.75">
      <c r="U299" s="19"/>
    </row>
    <row r="300" ht="12.75">
      <c r="U300" s="19"/>
    </row>
    <row r="301" ht="12.75">
      <c r="U301" s="19"/>
    </row>
    <row r="302" ht="12.75">
      <c r="U302" s="19"/>
    </row>
    <row r="303" ht="12.75">
      <c r="U303" s="19"/>
    </row>
    <row r="304" ht="12.75">
      <c r="U304" s="19"/>
    </row>
    <row r="305" ht="12.75">
      <c r="U305" s="19"/>
    </row>
    <row r="306" ht="12.75">
      <c r="U306" s="19"/>
    </row>
    <row r="307" ht="12.75">
      <c r="U307" s="19"/>
    </row>
    <row r="308" ht="12.75">
      <c r="U308" s="19"/>
    </row>
    <row r="309" ht="12.75">
      <c r="U309" s="19"/>
    </row>
    <row r="310" ht="12.75">
      <c r="U310" s="19"/>
    </row>
    <row r="311" ht="12.75">
      <c r="U311" s="19"/>
    </row>
    <row r="312" ht="12.75">
      <c r="U312" s="19"/>
    </row>
    <row r="313" ht="12.75">
      <c r="U313" s="19"/>
    </row>
    <row r="314" ht="12.75">
      <c r="U314" s="19"/>
    </row>
    <row r="315" ht="12.75">
      <c r="U315" s="19"/>
    </row>
    <row r="316" ht="12.75">
      <c r="U316" s="19"/>
    </row>
    <row r="317" ht="12.75">
      <c r="U317" s="19"/>
    </row>
    <row r="318" ht="12.75">
      <c r="U318" s="19"/>
    </row>
    <row r="319" ht="12.75">
      <c r="U319" s="19"/>
    </row>
    <row r="320" ht="12.75">
      <c r="U320" s="19"/>
    </row>
    <row r="321" ht="12.75">
      <c r="U321" s="19"/>
    </row>
    <row r="322" ht="12.75">
      <c r="U322" s="19"/>
    </row>
    <row r="323" ht="12.75">
      <c r="U323" s="19"/>
    </row>
    <row r="324" ht="12.75">
      <c r="U324" s="19"/>
    </row>
    <row r="325" ht="12.75">
      <c r="U325" s="19"/>
    </row>
    <row r="326" ht="12.75">
      <c r="U326" s="19"/>
    </row>
    <row r="327" ht="12.75">
      <c r="U327" s="19"/>
    </row>
    <row r="328" ht="12.75">
      <c r="U328" s="19"/>
    </row>
    <row r="329" ht="12.75">
      <c r="U329" s="19"/>
    </row>
    <row r="330" ht="12.75">
      <c r="U330" s="19"/>
    </row>
    <row r="331" ht="12.75">
      <c r="U331" s="19"/>
    </row>
    <row r="332" ht="12.75">
      <c r="U332" s="19"/>
    </row>
    <row r="333" ht="12.75">
      <c r="U333" s="19"/>
    </row>
    <row r="334" ht="12.75">
      <c r="U334" s="19"/>
    </row>
    <row r="335" ht="12.75">
      <c r="U335" s="19"/>
    </row>
    <row r="336" ht="12.75">
      <c r="U336" s="19"/>
    </row>
    <row r="337" ht="12.75">
      <c r="U337" s="19"/>
    </row>
    <row r="338" ht="12.75">
      <c r="U338" s="19"/>
    </row>
    <row r="339" ht="12.75">
      <c r="U339" s="19"/>
    </row>
    <row r="340" ht="12.75">
      <c r="U340" s="19"/>
    </row>
    <row r="341" ht="12.75">
      <c r="U341" s="19"/>
    </row>
    <row r="342" ht="12.75">
      <c r="U342" s="19"/>
    </row>
    <row r="343" ht="12.75">
      <c r="U343" s="19"/>
    </row>
    <row r="344" ht="12.75">
      <c r="U344" s="19"/>
    </row>
    <row r="345" ht="12.75">
      <c r="U345" s="19"/>
    </row>
    <row r="346" ht="12.75">
      <c r="U346" s="19"/>
    </row>
    <row r="347" ht="12.75">
      <c r="U347" s="19"/>
    </row>
    <row r="348" ht="12.75">
      <c r="U348" s="19"/>
    </row>
    <row r="349" ht="12.75">
      <c r="U349" s="19"/>
    </row>
    <row r="350" ht="12.75">
      <c r="U350" s="19"/>
    </row>
    <row r="351" ht="12.75">
      <c r="U351" s="19"/>
    </row>
    <row r="352" ht="12.75">
      <c r="U352" s="19"/>
    </row>
    <row r="353" ht="12.75">
      <c r="U353" s="19"/>
    </row>
    <row r="354" ht="12.75">
      <c r="U354" s="19"/>
    </row>
    <row r="355" ht="12.75">
      <c r="U355" s="19"/>
    </row>
    <row r="356" ht="12.75">
      <c r="U356" s="19"/>
    </row>
    <row r="357" ht="12.75">
      <c r="U357" s="19"/>
    </row>
    <row r="358" ht="12.75">
      <c r="U358" s="19"/>
    </row>
    <row r="359" ht="12.75">
      <c r="U359" s="19"/>
    </row>
    <row r="360" ht="12.75">
      <c r="U360" s="19"/>
    </row>
    <row r="361" ht="12.75">
      <c r="U361" s="19"/>
    </row>
    <row r="362" ht="12.75">
      <c r="U362" s="19"/>
    </row>
    <row r="363" ht="12.75">
      <c r="U363" s="19"/>
    </row>
    <row r="364" ht="12.75">
      <c r="U364" s="19"/>
    </row>
    <row r="365" ht="12.75">
      <c r="U365" s="19"/>
    </row>
    <row r="366" ht="12.75">
      <c r="U366" s="19"/>
    </row>
    <row r="367" ht="12.75">
      <c r="U367" s="19"/>
    </row>
    <row r="368" ht="12.75">
      <c r="U368" s="19"/>
    </row>
    <row r="369" ht="12.75">
      <c r="U369" s="19"/>
    </row>
    <row r="370" ht="12.75">
      <c r="U370" s="19"/>
    </row>
    <row r="371" ht="12.75">
      <c r="U371" s="19"/>
    </row>
    <row r="372" ht="12.75">
      <c r="U372" s="19"/>
    </row>
    <row r="373" ht="12.75">
      <c r="U373" s="19"/>
    </row>
    <row r="374" ht="12.75">
      <c r="U374" s="19"/>
    </row>
    <row r="375" ht="12.75">
      <c r="U375" s="19"/>
    </row>
    <row r="376" ht="12.75">
      <c r="U376" s="19"/>
    </row>
    <row r="377" ht="12.75">
      <c r="U377" s="19"/>
    </row>
    <row r="378" ht="12.75">
      <c r="U378" s="19"/>
    </row>
    <row r="379" ht="12.75">
      <c r="U379" s="19"/>
    </row>
    <row r="380" ht="12.75">
      <c r="U380" s="19"/>
    </row>
    <row r="381" ht="12.75">
      <c r="U381" s="19"/>
    </row>
    <row r="382" ht="12.75">
      <c r="U382" s="19"/>
    </row>
    <row r="383" ht="12.75">
      <c r="U383" s="19"/>
    </row>
    <row r="384" ht="12.75">
      <c r="U384" s="19"/>
    </row>
    <row r="385" ht="12.75">
      <c r="U385" s="19"/>
    </row>
    <row r="386" ht="12.75">
      <c r="U386" s="19"/>
    </row>
    <row r="387" ht="12.75">
      <c r="U387" s="19"/>
    </row>
    <row r="388" ht="12.75">
      <c r="U388" s="19"/>
    </row>
    <row r="389" ht="12.75">
      <c r="U389" s="19"/>
    </row>
    <row r="390" ht="12.75">
      <c r="U390" s="19"/>
    </row>
    <row r="391" ht="12.75">
      <c r="U391" s="19"/>
    </row>
    <row r="392" ht="12.75">
      <c r="U392" s="19"/>
    </row>
    <row r="393" ht="12.75">
      <c r="U393" s="19"/>
    </row>
    <row r="394" ht="12.75">
      <c r="U394" s="19"/>
    </row>
    <row r="395" ht="12.75">
      <c r="U395" s="19"/>
    </row>
    <row r="396" ht="12.75">
      <c r="U396" s="19"/>
    </row>
    <row r="397" ht="12.75">
      <c r="U397" s="19"/>
    </row>
    <row r="398" ht="12.75">
      <c r="U398" s="19"/>
    </row>
    <row r="399" ht="12.75">
      <c r="U399" s="19"/>
    </row>
    <row r="400" ht="12.75">
      <c r="U400" s="19"/>
    </row>
    <row r="401" ht="12.75">
      <c r="U401" s="19"/>
    </row>
    <row r="402" ht="12.75">
      <c r="U402" s="19"/>
    </row>
    <row r="403" ht="12.75">
      <c r="U403" s="19"/>
    </row>
    <row r="404" ht="12.75">
      <c r="U404" s="19"/>
    </row>
    <row r="405" ht="12.75">
      <c r="U405" s="19"/>
    </row>
    <row r="406" ht="12.75">
      <c r="U406" s="19"/>
    </row>
    <row r="407" ht="12.75">
      <c r="U407" s="19"/>
    </row>
    <row r="408" ht="12.75">
      <c r="U408" s="19"/>
    </row>
    <row r="409" ht="12.75">
      <c r="U409" s="19"/>
    </row>
    <row r="410" ht="12.75">
      <c r="U410" s="19"/>
    </row>
    <row r="411" ht="12.75">
      <c r="U411" s="19"/>
    </row>
    <row r="412" ht="12.75">
      <c r="U412" s="19"/>
    </row>
    <row r="413" ht="12.75">
      <c r="U413" s="19"/>
    </row>
    <row r="414" ht="12.75">
      <c r="U414" s="19"/>
    </row>
    <row r="415" ht="12.75">
      <c r="U415" s="19"/>
    </row>
    <row r="416" ht="12.75">
      <c r="U416" s="19"/>
    </row>
    <row r="417" ht="12.75">
      <c r="U417" s="19"/>
    </row>
    <row r="418" ht="12.75">
      <c r="U418" s="19"/>
    </row>
    <row r="419" ht="12.75">
      <c r="U419" s="19"/>
    </row>
    <row r="420" ht="12.75">
      <c r="U420" s="19"/>
    </row>
    <row r="421" ht="12.75">
      <c r="U421" s="19"/>
    </row>
    <row r="422" ht="12.75">
      <c r="U422" s="19"/>
    </row>
    <row r="423" ht="12.75">
      <c r="U423" s="19"/>
    </row>
    <row r="424" ht="12.75">
      <c r="U424" s="19"/>
    </row>
    <row r="425" ht="12.75">
      <c r="U425" s="19"/>
    </row>
    <row r="426" ht="12.75">
      <c r="U426" s="19"/>
    </row>
    <row r="427" ht="12.75">
      <c r="U427" s="19"/>
    </row>
    <row r="428" ht="12.75">
      <c r="U428" s="19"/>
    </row>
    <row r="429" ht="12.75">
      <c r="U429" s="19"/>
    </row>
    <row r="430" ht="12.75">
      <c r="U430" s="19"/>
    </row>
    <row r="431" ht="12.75">
      <c r="U431" s="19"/>
    </row>
    <row r="432" ht="12.75">
      <c r="U432" s="19"/>
    </row>
    <row r="433" ht="12.75">
      <c r="U433" s="19"/>
    </row>
    <row r="434" ht="12.75">
      <c r="U434" s="19"/>
    </row>
    <row r="435" ht="12.75">
      <c r="U435" s="19"/>
    </row>
    <row r="436" ht="12.75">
      <c r="U436" s="19"/>
    </row>
    <row r="437" ht="12.75">
      <c r="U437" s="19"/>
    </row>
    <row r="438" ht="12.75">
      <c r="U438" s="19"/>
    </row>
    <row r="439" ht="12.75">
      <c r="U439" s="19"/>
    </row>
    <row r="440" ht="12.75">
      <c r="U440" s="19"/>
    </row>
    <row r="441" ht="12.75">
      <c r="U441" s="19"/>
    </row>
    <row r="442" ht="12.75">
      <c r="U442" s="19"/>
    </row>
    <row r="443" ht="12.75">
      <c r="U443" s="19"/>
    </row>
    <row r="444" ht="12.75">
      <c r="U444" s="19"/>
    </row>
    <row r="445" ht="12.75">
      <c r="U445" s="19"/>
    </row>
    <row r="446" ht="12.75">
      <c r="U446" s="19"/>
    </row>
    <row r="447" ht="12.75">
      <c r="U447" s="19"/>
    </row>
    <row r="448" ht="12.75">
      <c r="U448" s="19"/>
    </row>
    <row r="449" ht="12.75">
      <c r="U449" s="19"/>
    </row>
    <row r="450" ht="12.75">
      <c r="U450" s="19"/>
    </row>
    <row r="451" ht="12.75">
      <c r="U451" s="19"/>
    </row>
    <row r="452" ht="12.75">
      <c r="U452" s="19"/>
    </row>
    <row r="453" ht="12.75">
      <c r="U453" s="19"/>
    </row>
    <row r="454" ht="12.75">
      <c r="U454" s="19"/>
    </row>
    <row r="455" ht="12.75">
      <c r="U455" s="19"/>
    </row>
    <row r="456" ht="12.75">
      <c r="U456" s="19"/>
    </row>
    <row r="457" ht="12.75">
      <c r="U457" s="19"/>
    </row>
    <row r="458" ht="12.75">
      <c r="U458" s="19"/>
    </row>
    <row r="459" ht="12.75">
      <c r="U459" s="19"/>
    </row>
    <row r="460" ht="12.75">
      <c r="U460" s="19"/>
    </row>
    <row r="461" ht="12.75">
      <c r="U461" s="19"/>
    </row>
    <row r="462" ht="12.75">
      <c r="U462" s="19"/>
    </row>
    <row r="463" ht="12.75">
      <c r="U463" s="19"/>
    </row>
    <row r="464" ht="12.75">
      <c r="U464" s="19"/>
    </row>
    <row r="465" ht="12.75">
      <c r="U465" s="19"/>
    </row>
    <row r="466" ht="12.75">
      <c r="U466" s="19"/>
    </row>
    <row r="467" ht="12.75">
      <c r="U467" s="19"/>
    </row>
    <row r="468" ht="12.75">
      <c r="U468" s="19"/>
    </row>
    <row r="469" ht="12.75">
      <c r="U469" s="19"/>
    </row>
    <row r="470" ht="12.75">
      <c r="U470" s="19"/>
    </row>
    <row r="471" ht="12.75">
      <c r="U471" s="19"/>
    </row>
    <row r="472" ht="12.75">
      <c r="U472" s="19"/>
    </row>
    <row r="473" ht="12.75">
      <c r="U473" s="19"/>
    </row>
    <row r="474" ht="12.75">
      <c r="U474" s="19"/>
    </row>
    <row r="475" ht="12.75">
      <c r="U475" s="19"/>
    </row>
    <row r="476" ht="12.75">
      <c r="U476" s="19"/>
    </row>
    <row r="477" ht="12.75">
      <c r="U477" s="19"/>
    </row>
    <row r="478" ht="12.75">
      <c r="U478" s="19"/>
    </row>
    <row r="479" ht="12.75">
      <c r="U479" s="19"/>
    </row>
    <row r="480" ht="12.75">
      <c r="U480" s="19"/>
    </row>
    <row r="481" ht="12.75">
      <c r="U481" s="19"/>
    </row>
    <row r="482" ht="12.75">
      <c r="U482" s="19"/>
    </row>
    <row r="483" ht="12.75">
      <c r="U483" s="19"/>
    </row>
    <row r="484" ht="12.75">
      <c r="U484" s="19"/>
    </row>
    <row r="485" ht="12.75">
      <c r="U485" s="19"/>
    </row>
    <row r="486" ht="12.75">
      <c r="U486" s="19"/>
    </row>
    <row r="487" ht="12.75">
      <c r="U487" s="19"/>
    </row>
    <row r="488" ht="12.75">
      <c r="U488" s="19"/>
    </row>
    <row r="489" ht="12.75">
      <c r="U489" s="19"/>
    </row>
    <row r="490" ht="12.75">
      <c r="U490" s="19"/>
    </row>
    <row r="491" ht="12.75">
      <c r="U491" s="19"/>
    </row>
    <row r="492" ht="12.75">
      <c r="U492" s="19"/>
    </row>
    <row r="493" ht="12.75">
      <c r="U493" s="19"/>
    </row>
    <row r="494" ht="12.75">
      <c r="U494" s="19"/>
    </row>
    <row r="495" ht="12.75">
      <c r="U495" s="19"/>
    </row>
    <row r="496" ht="12.75">
      <c r="U496" s="19"/>
    </row>
    <row r="497" ht="12.75">
      <c r="U497" s="19"/>
    </row>
    <row r="498" ht="12.75">
      <c r="U498" s="19"/>
    </row>
    <row r="499" ht="12.75">
      <c r="U499" s="19"/>
    </row>
    <row r="500" ht="12.75">
      <c r="U500" s="19"/>
    </row>
    <row r="501" ht="12.75">
      <c r="U501" s="19"/>
    </row>
    <row r="502" ht="12.75">
      <c r="U502" s="19"/>
    </row>
    <row r="503" ht="12.75">
      <c r="U503" s="19"/>
    </row>
    <row r="504" ht="12.75">
      <c r="U504" s="19"/>
    </row>
    <row r="505" ht="12.75">
      <c r="U505" s="19"/>
    </row>
    <row r="506" ht="12.75">
      <c r="U506" s="19"/>
    </row>
    <row r="507" ht="12.75">
      <c r="U507" s="19"/>
    </row>
    <row r="508" ht="12.75">
      <c r="U508" s="19"/>
    </row>
    <row r="509" ht="12.75">
      <c r="U509" s="19"/>
    </row>
    <row r="510" ht="12.75">
      <c r="U510" s="19"/>
    </row>
    <row r="511" ht="12.75">
      <c r="U511" s="19"/>
    </row>
    <row r="512" ht="12.75">
      <c r="U512" s="19"/>
    </row>
    <row r="513" ht="12.75">
      <c r="U513" s="19"/>
    </row>
    <row r="514" ht="12.75">
      <c r="U514" s="19"/>
    </row>
    <row r="515" ht="12.75">
      <c r="U515" s="19"/>
    </row>
    <row r="516" ht="12.75">
      <c r="U516" s="19"/>
    </row>
    <row r="517" ht="12.75">
      <c r="U517" s="19"/>
    </row>
    <row r="518" ht="12.75">
      <c r="U518" s="19"/>
    </row>
    <row r="519" ht="12.75">
      <c r="U519" s="19"/>
    </row>
    <row r="520" ht="12.75">
      <c r="U520" s="19"/>
    </row>
    <row r="521" ht="12.75">
      <c r="U521" s="19"/>
    </row>
    <row r="522" ht="12.75">
      <c r="U522" s="19"/>
    </row>
    <row r="523" ht="12.75">
      <c r="U523" s="19"/>
    </row>
    <row r="524" ht="12.75">
      <c r="U524" s="19"/>
    </row>
    <row r="525" ht="12.75">
      <c r="U525" s="19"/>
    </row>
    <row r="526" ht="12.75">
      <c r="U526" s="19"/>
    </row>
    <row r="527" ht="12.75">
      <c r="U527" s="19"/>
    </row>
    <row r="528" ht="12.75">
      <c r="U528" s="19"/>
    </row>
    <row r="529" ht="12.75">
      <c r="U529" s="19"/>
    </row>
    <row r="530" ht="12.75">
      <c r="U530" s="19"/>
    </row>
    <row r="531" ht="12.75">
      <c r="U531" s="19"/>
    </row>
    <row r="532" ht="12.75">
      <c r="U532" s="19"/>
    </row>
    <row r="533" ht="12.75">
      <c r="U533" s="19"/>
    </row>
    <row r="534" ht="12.75">
      <c r="U534" s="19"/>
    </row>
    <row r="535" ht="12.75">
      <c r="U535" s="19"/>
    </row>
    <row r="536" ht="12.75">
      <c r="U536" s="19"/>
    </row>
    <row r="537" ht="12.75">
      <c r="U537" s="19"/>
    </row>
    <row r="538" ht="12.75">
      <c r="U538" s="19"/>
    </row>
    <row r="539" ht="12.75">
      <c r="U539" s="19"/>
    </row>
    <row r="540" ht="12.75">
      <c r="U540" s="19"/>
    </row>
    <row r="541" ht="12.75">
      <c r="U541" s="19"/>
    </row>
    <row r="542" ht="12.75">
      <c r="U542" s="19"/>
    </row>
    <row r="543" ht="12.75">
      <c r="U543" s="19"/>
    </row>
    <row r="544" ht="12.75">
      <c r="U544" s="19"/>
    </row>
    <row r="545" ht="12.75">
      <c r="U545" s="19"/>
    </row>
    <row r="546" ht="12.75">
      <c r="U546" s="19"/>
    </row>
    <row r="547" ht="12.75">
      <c r="U547" s="19"/>
    </row>
    <row r="548" ht="12.75">
      <c r="U548" s="19"/>
    </row>
    <row r="549" ht="12.75">
      <c r="U549" s="19"/>
    </row>
    <row r="550" ht="12.75">
      <c r="U550" s="19"/>
    </row>
    <row r="551" ht="12.75">
      <c r="U551" s="19"/>
    </row>
    <row r="552" ht="12.75">
      <c r="U552" s="19"/>
    </row>
    <row r="553" ht="12.75">
      <c r="U553" s="19"/>
    </row>
    <row r="554" ht="12.75">
      <c r="U554" s="19"/>
    </row>
    <row r="555" ht="12.75">
      <c r="U555" s="19"/>
    </row>
    <row r="556" ht="12.75">
      <c r="U556" s="19"/>
    </row>
    <row r="557" ht="12.75">
      <c r="U557" s="19"/>
    </row>
    <row r="558" ht="12.75">
      <c r="U558" s="19"/>
    </row>
    <row r="559" ht="12.75">
      <c r="U559" s="19"/>
    </row>
    <row r="560" ht="12.75">
      <c r="U560" s="19"/>
    </row>
    <row r="561" ht="12.75">
      <c r="U561" s="19"/>
    </row>
    <row r="562" ht="12.75">
      <c r="U562" s="19"/>
    </row>
    <row r="563" ht="12.75">
      <c r="U563" s="19"/>
    </row>
    <row r="564" ht="12.75">
      <c r="U564" s="19"/>
    </row>
    <row r="565" ht="12.75">
      <c r="U565" s="19"/>
    </row>
    <row r="566" ht="12.75">
      <c r="U566" s="19"/>
    </row>
    <row r="567" ht="12.75">
      <c r="U567" s="19"/>
    </row>
    <row r="568" ht="12.75">
      <c r="U568" s="19"/>
    </row>
    <row r="569" ht="12.75">
      <c r="U569" s="19"/>
    </row>
    <row r="570" ht="12.75">
      <c r="U570" s="19"/>
    </row>
    <row r="571" ht="12.75">
      <c r="U571" s="19"/>
    </row>
    <row r="572" ht="12.75">
      <c r="U572" s="19"/>
    </row>
    <row r="573" ht="12.75">
      <c r="U573" s="19"/>
    </row>
    <row r="574" ht="12.75">
      <c r="U574" s="19"/>
    </row>
    <row r="575" ht="12.75">
      <c r="U575" s="19"/>
    </row>
    <row r="576" ht="12.75">
      <c r="U576" s="19"/>
    </row>
    <row r="577" ht="12.75">
      <c r="U577" s="19"/>
    </row>
    <row r="578" ht="12.75">
      <c r="U578" s="19"/>
    </row>
    <row r="579" ht="12.75">
      <c r="U579" s="19"/>
    </row>
    <row r="580" ht="12.75">
      <c r="U580" s="19"/>
    </row>
    <row r="581" ht="12.75">
      <c r="U581" s="19"/>
    </row>
    <row r="582" ht="12.75">
      <c r="U582" s="19"/>
    </row>
    <row r="583" ht="12.75">
      <c r="U583" s="19"/>
    </row>
    <row r="584" ht="12.75">
      <c r="U584" s="19"/>
    </row>
    <row r="585" ht="12.75">
      <c r="U585" s="19"/>
    </row>
    <row r="586" ht="12.75">
      <c r="U586" s="19"/>
    </row>
    <row r="587" ht="12.75">
      <c r="U587" s="19"/>
    </row>
    <row r="588" ht="12.75">
      <c r="U588" s="19"/>
    </row>
    <row r="589" ht="12.75">
      <c r="U589" s="19"/>
    </row>
    <row r="590" ht="12.75">
      <c r="U590" s="19"/>
    </row>
    <row r="591" ht="12.75">
      <c r="U591" s="19"/>
    </row>
    <row r="592" ht="12.75">
      <c r="U592" s="19"/>
    </row>
    <row r="593" ht="12.75">
      <c r="U593" s="19"/>
    </row>
    <row r="594" ht="12.75">
      <c r="U594" s="19"/>
    </row>
    <row r="595" ht="12.75">
      <c r="U595" s="19"/>
    </row>
    <row r="596" ht="12.75">
      <c r="U596" s="19"/>
    </row>
    <row r="597" ht="12.75">
      <c r="U597" s="19"/>
    </row>
    <row r="598" ht="12.75">
      <c r="U598" s="19"/>
    </row>
    <row r="599" ht="12.75">
      <c r="U599" s="19"/>
    </row>
    <row r="600" ht="12.75">
      <c r="U600" s="19"/>
    </row>
    <row r="601" ht="12.75">
      <c r="U601" s="19"/>
    </row>
    <row r="602" ht="12.75">
      <c r="U602" s="19"/>
    </row>
    <row r="603" ht="12.75">
      <c r="U603" s="19"/>
    </row>
    <row r="604" ht="12.75">
      <c r="U604" s="19"/>
    </row>
    <row r="605" ht="12.75">
      <c r="U605" s="19"/>
    </row>
    <row r="606" ht="12.75">
      <c r="U606" s="19"/>
    </row>
    <row r="607" ht="12.75">
      <c r="U607" s="19"/>
    </row>
    <row r="608" ht="12.75">
      <c r="U608" s="19"/>
    </row>
    <row r="609" ht="12.75">
      <c r="U609" s="19"/>
    </row>
    <row r="610" ht="12.75">
      <c r="U610" s="19"/>
    </row>
    <row r="611" ht="12.75">
      <c r="U611" s="19"/>
    </row>
    <row r="612" ht="12.75">
      <c r="U612" s="19"/>
    </row>
    <row r="613" ht="12.75">
      <c r="U613" s="19"/>
    </row>
    <row r="614" ht="12.75">
      <c r="U614" s="19"/>
    </row>
    <row r="615" ht="12.75">
      <c r="U615" s="19"/>
    </row>
    <row r="616" ht="12.75">
      <c r="U616" s="19"/>
    </row>
    <row r="617" ht="12.75">
      <c r="U617" s="19"/>
    </row>
    <row r="618" ht="12.75">
      <c r="U618" s="19"/>
    </row>
    <row r="619" ht="12.75">
      <c r="U619" s="19"/>
    </row>
    <row r="620" ht="12.75">
      <c r="U620" s="19"/>
    </row>
    <row r="621" ht="12.75">
      <c r="U621" s="19"/>
    </row>
    <row r="622" ht="12.75">
      <c r="U622" s="19"/>
    </row>
    <row r="623" ht="12.75">
      <c r="U623" s="19"/>
    </row>
    <row r="624" ht="12.75">
      <c r="U624" s="19"/>
    </row>
    <row r="625" ht="12.75">
      <c r="U625" s="19"/>
    </row>
    <row r="626" ht="12.75">
      <c r="U626" s="19"/>
    </row>
    <row r="627" ht="12.75">
      <c r="U627" s="19"/>
    </row>
    <row r="628" ht="12.75">
      <c r="U628" s="19"/>
    </row>
    <row r="629" ht="12.75">
      <c r="U629" s="19"/>
    </row>
    <row r="630" ht="12.75">
      <c r="U630" s="19"/>
    </row>
    <row r="631" ht="12.75">
      <c r="U631" s="19"/>
    </row>
    <row r="632" ht="12.75">
      <c r="U632" s="19"/>
    </row>
    <row r="633" ht="12.75">
      <c r="U633" s="19"/>
    </row>
    <row r="634" ht="12.75">
      <c r="U634" s="19"/>
    </row>
    <row r="635" ht="12.75">
      <c r="U635" s="19"/>
    </row>
    <row r="636" ht="12.75">
      <c r="U636" s="19"/>
    </row>
    <row r="637" ht="12.75">
      <c r="U637" s="19"/>
    </row>
    <row r="638" ht="12.75">
      <c r="U638" s="19"/>
    </row>
    <row r="639" ht="12.75">
      <c r="U639" s="19"/>
    </row>
    <row r="640" ht="12.75">
      <c r="U640" s="19"/>
    </row>
    <row r="641" ht="12.75">
      <c r="U641" s="19"/>
    </row>
    <row r="642" ht="12.75">
      <c r="U642" s="19"/>
    </row>
    <row r="643" ht="12.75">
      <c r="U643" s="19"/>
    </row>
    <row r="644" ht="12.75">
      <c r="U644" s="19"/>
    </row>
    <row r="645" ht="12.75">
      <c r="U645" s="19"/>
    </row>
    <row r="646" ht="12.75">
      <c r="U646" s="19"/>
    </row>
    <row r="647" ht="12.75">
      <c r="U647" s="19"/>
    </row>
    <row r="648" ht="12.75">
      <c r="U648" s="19"/>
    </row>
    <row r="649" ht="12.75">
      <c r="U649" s="19"/>
    </row>
    <row r="650" ht="12.75">
      <c r="U650" s="19"/>
    </row>
    <row r="651" ht="12.75">
      <c r="U651" s="19"/>
    </row>
    <row r="652" ht="12.75">
      <c r="U652" s="19"/>
    </row>
    <row r="653" ht="12.75">
      <c r="U653" s="19"/>
    </row>
    <row r="654" ht="12.75">
      <c r="U654" s="19"/>
    </row>
    <row r="655" ht="12.75">
      <c r="U655" s="19"/>
    </row>
    <row r="656" ht="12.75">
      <c r="U656" s="19"/>
    </row>
    <row r="657" ht="12.75">
      <c r="U657" s="19"/>
    </row>
    <row r="658" ht="12.75">
      <c r="U658" s="19"/>
    </row>
    <row r="659" ht="12.75">
      <c r="U659" s="19"/>
    </row>
    <row r="660" ht="12.75">
      <c r="U660" s="19"/>
    </row>
    <row r="661" ht="12.75">
      <c r="U661" s="19"/>
    </row>
    <row r="662" ht="12.75">
      <c r="U662" s="19"/>
    </row>
    <row r="663" ht="12.75">
      <c r="U663" s="19"/>
    </row>
    <row r="664" ht="12.75">
      <c r="U664" s="19"/>
    </row>
    <row r="665" ht="12.75">
      <c r="U665" s="19"/>
    </row>
    <row r="666" ht="12.75">
      <c r="U666" s="19"/>
    </row>
    <row r="667" ht="12.75">
      <c r="U667" s="19"/>
    </row>
    <row r="668" ht="12.75">
      <c r="U668" s="19"/>
    </row>
    <row r="669" ht="12.75">
      <c r="U669" s="19"/>
    </row>
    <row r="670" ht="12.75">
      <c r="U670" s="19"/>
    </row>
    <row r="671" ht="12.75">
      <c r="U671" s="19"/>
    </row>
    <row r="672" ht="12.75">
      <c r="U672" s="19"/>
    </row>
    <row r="673" ht="12.75">
      <c r="U673" s="19"/>
    </row>
    <row r="674" ht="12.75">
      <c r="U674" s="19"/>
    </row>
    <row r="675" ht="12.75">
      <c r="U675" s="19"/>
    </row>
    <row r="676" ht="12.75">
      <c r="U676" s="19"/>
    </row>
    <row r="677" ht="12.75">
      <c r="U677" s="19"/>
    </row>
    <row r="678" ht="12.75">
      <c r="U678" s="19"/>
    </row>
    <row r="679" ht="12.75">
      <c r="U679" s="19"/>
    </row>
    <row r="680" ht="12.75">
      <c r="U680" s="19"/>
    </row>
    <row r="681" ht="12.75">
      <c r="U681" s="19"/>
    </row>
    <row r="682" ht="12.75">
      <c r="U682" s="19"/>
    </row>
    <row r="683" ht="12.75">
      <c r="U683" s="19"/>
    </row>
    <row r="684" ht="12.75">
      <c r="U684" s="19"/>
    </row>
    <row r="685" ht="12.75">
      <c r="U685" s="19"/>
    </row>
    <row r="686" ht="12.75">
      <c r="U686" s="19"/>
    </row>
    <row r="687" ht="12.75">
      <c r="U687" s="19"/>
    </row>
    <row r="688" ht="12.75">
      <c r="U688" s="19"/>
    </row>
    <row r="689" ht="12.75">
      <c r="U689" s="19"/>
    </row>
    <row r="690" ht="12.75">
      <c r="U690" s="19"/>
    </row>
    <row r="691" ht="12.75">
      <c r="U691" s="19"/>
    </row>
    <row r="692" ht="12.75">
      <c r="U692" s="19"/>
    </row>
    <row r="693" ht="12.75">
      <c r="U693" s="19"/>
    </row>
    <row r="694" ht="12.75">
      <c r="U694" s="19"/>
    </row>
    <row r="695" ht="12.75">
      <c r="U695" s="19"/>
    </row>
    <row r="696" ht="12.75">
      <c r="U696" s="19"/>
    </row>
    <row r="697" ht="12.75">
      <c r="U697" s="19"/>
    </row>
    <row r="698" ht="12.75">
      <c r="U698" s="19"/>
    </row>
    <row r="699" ht="12.75">
      <c r="U699" s="19"/>
    </row>
    <row r="700" ht="12.75">
      <c r="U700" s="19"/>
    </row>
    <row r="701" ht="12.75">
      <c r="U701" s="19"/>
    </row>
    <row r="702" ht="12.75">
      <c r="U702" s="19"/>
    </row>
    <row r="703" ht="12.75">
      <c r="U703" s="19"/>
    </row>
    <row r="704" ht="12.75">
      <c r="U704" s="19"/>
    </row>
    <row r="705" ht="12.75">
      <c r="U705" s="19"/>
    </row>
    <row r="706" ht="12.75">
      <c r="U706" s="19"/>
    </row>
    <row r="707" ht="12.75">
      <c r="U707" s="19"/>
    </row>
    <row r="708" ht="12.75">
      <c r="U708" s="19"/>
    </row>
    <row r="709" ht="12.75">
      <c r="U709" s="19"/>
    </row>
    <row r="710" ht="12.75">
      <c r="U710" s="19"/>
    </row>
    <row r="711" ht="12.75">
      <c r="U711" s="19"/>
    </row>
    <row r="712" ht="12.75">
      <c r="U712" s="19"/>
    </row>
    <row r="713" ht="12.75">
      <c r="U713" s="19"/>
    </row>
    <row r="714" ht="12.75">
      <c r="U714" s="19"/>
    </row>
    <row r="715" ht="12.75">
      <c r="U715" s="19"/>
    </row>
    <row r="716" ht="12.75">
      <c r="U716" s="19"/>
    </row>
    <row r="717" ht="12.75">
      <c r="U717" s="19"/>
    </row>
    <row r="718" ht="12.75">
      <c r="U718" s="19"/>
    </row>
    <row r="719" ht="12.75">
      <c r="U719" s="19"/>
    </row>
    <row r="720" ht="12.75">
      <c r="U720" s="19"/>
    </row>
    <row r="721" ht="12.75">
      <c r="U721" s="19"/>
    </row>
    <row r="722" ht="12.75">
      <c r="U722" s="19"/>
    </row>
    <row r="723" ht="12.75">
      <c r="U723" s="19"/>
    </row>
    <row r="724" ht="12.75">
      <c r="U724" s="19"/>
    </row>
    <row r="725" ht="12.75">
      <c r="U725" s="19"/>
    </row>
    <row r="726" ht="12.75">
      <c r="U726" s="19"/>
    </row>
    <row r="727" ht="12.75">
      <c r="U727" s="19"/>
    </row>
    <row r="728" ht="12.75">
      <c r="U728" s="19"/>
    </row>
    <row r="729" ht="12.75">
      <c r="U729" s="19"/>
    </row>
    <row r="730" ht="12.75">
      <c r="U730" s="19"/>
    </row>
    <row r="731" ht="12.75">
      <c r="U731" s="19"/>
    </row>
    <row r="732" ht="12.75">
      <c r="U732" s="19"/>
    </row>
    <row r="733" ht="12.75">
      <c r="U733" s="19"/>
    </row>
    <row r="734" ht="12.75">
      <c r="U734" s="19"/>
    </row>
    <row r="735" ht="12.75">
      <c r="U735" s="19"/>
    </row>
    <row r="736" ht="12.75">
      <c r="U736" s="19"/>
    </row>
    <row r="737" ht="12.75">
      <c r="U737" s="19"/>
    </row>
    <row r="738" ht="12.75">
      <c r="U738" s="19"/>
    </row>
    <row r="739" ht="12.75">
      <c r="U739" s="19"/>
    </row>
    <row r="740" ht="12.75">
      <c r="U740" s="19"/>
    </row>
    <row r="741" ht="12.75">
      <c r="U741" s="19"/>
    </row>
    <row r="742" ht="12.75">
      <c r="U742" s="19"/>
    </row>
    <row r="743" ht="12.75">
      <c r="U743" s="19"/>
    </row>
    <row r="744" ht="12.75">
      <c r="U744" s="19"/>
    </row>
    <row r="745" ht="12.75">
      <c r="U745" s="19"/>
    </row>
    <row r="746" ht="12.75">
      <c r="U746" s="19"/>
    </row>
    <row r="747" ht="12.75">
      <c r="U747" s="19"/>
    </row>
    <row r="748" ht="12.75">
      <c r="U748" s="19"/>
    </row>
    <row r="749" ht="12.75">
      <c r="U749" s="19"/>
    </row>
    <row r="750" ht="12.75">
      <c r="U750" s="19"/>
    </row>
    <row r="751" ht="12.75">
      <c r="U751" s="19"/>
    </row>
    <row r="752" ht="12.75">
      <c r="U752" s="19"/>
    </row>
    <row r="753" ht="12.75">
      <c r="U753" s="19"/>
    </row>
    <row r="754" ht="12.75">
      <c r="U754" s="19"/>
    </row>
    <row r="755" ht="12.75">
      <c r="U755" s="19"/>
    </row>
    <row r="756" ht="12.75">
      <c r="U756" s="19"/>
    </row>
    <row r="757" ht="12.75">
      <c r="U757" s="19"/>
    </row>
    <row r="758" ht="12.75">
      <c r="U758" s="19"/>
    </row>
    <row r="759" ht="12.75">
      <c r="U759" s="19"/>
    </row>
    <row r="760" ht="12.75">
      <c r="U760" s="19"/>
    </row>
    <row r="761" ht="12.75">
      <c r="U761" s="19"/>
    </row>
    <row r="762" ht="12.75">
      <c r="U762" s="19"/>
    </row>
    <row r="763" ht="12.75">
      <c r="U763" s="19"/>
    </row>
    <row r="764" ht="12.75">
      <c r="U764" s="19"/>
    </row>
    <row r="765" ht="12.75">
      <c r="U765" s="19"/>
    </row>
    <row r="766" ht="12.75">
      <c r="U766" s="19"/>
    </row>
    <row r="767" ht="12.75">
      <c r="U767" s="19"/>
    </row>
    <row r="768" ht="12.75">
      <c r="U768" s="19"/>
    </row>
    <row r="769" ht="12.75">
      <c r="U769" s="19"/>
    </row>
    <row r="770" ht="12.75">
      <c r="U770" s="19"/>
    </row>
    <row r="771" ht="12.75">
      <c r="U771" s="19"/>
    </row>
    <row r="772" ht="12.75">
      <c r="U772" s="19"/>
    </row>
    <row r="773" ht="12.75">
      <c r="U773" s="19"/>
    </row>
    <row r="774" ht="12.75">
      <c r="U774" s="19"/>
    </row>
    <row r="775" ht="12.75">
      <c r="U775" s="19"/>
    </row>
    <row r="776" ht="12.75">
      <c r="U776" s="19"/>
    </row>
    <row r="777" ht="12.75">
      <c r="U777" s="19"/>
    </row>
    <row r="778" ht="12.75">
      <c r="U778" s="19"/>
    </row>
    <row r="779" ht="12.75">
      <c r="U779" s="19"/>
    </row>
    <row r="780" ht="12.75">
      <c r="U780" s="19"/>
    </row>
    <row r="781" ht="12.75">
      <c r="U781" s="19"/>
    </row>
    <row r="782" ht="12.75">
      <c r="U782" s="19"/>
    </row>
    <row r="783" ht="12.75">
      <c r="U783" s="19"/>
    </row>
    <row r="784" ht="12.75">
      <c r="U784" s="19"/>
    </row>
    <row r="785" ht="12.75">
      <c r="U785" s="19"/>
    </row>
    <row r="786" ht="12.75">
      <c r="U786" s="19"/>
    </row>
    <row r="787" ht="12.75">
      <c r="U787" s="19"/>
    </row>
    <row r="788" ht="12.75">
      <c r="U788" s="19"/>
    </row>
    <row r="789" ht="12.75">
      <c r="U789" s="19"/>
    </row>
    <row r="790" ht="12.75">
      <c r="U790" s="19"/>
    </row>
    <row r="791" ht="12.75">
      <c r="U791" s="19"/>
    </row>
    <row r="792" ht="12.75">
      <c r="U792" s="19"/>
    </row>
    <row r="793" ht="12.75">
      <c r="U793" s="19"/>
    </row>
    <row r="794" ht="12.75">
      <c r="U794" s="19"/>
    </row>
    <row r="795" ht="12.75">
      <c r="U795" s="19"/>
    </row>
    <row r="796" ht="12.75">
      <c r="U796" s="19"/>
    </row>
    <row r="797" ht="12.75">
      <c r="U797" s="19"/>
    </row>
    <row r="798" ht="12.75">
      <c r="U798" s="19"/>
    </row>
    <row r="799" ht="12.75">
      <c r="U799" s="19"/>
    </row>
    <row r="800" ht="12.75">
      <c r="U800" s="19"/>
    </row>
    <row r="801" ht="12.75">
      <c r="U801" s="19"/>
    </row>
    <row r="802" ht="12.75">
      <c r="U802" s="19"/>
    </row>
    <row r="803" ht="12.75">
      <c r="U803" s="19"/>
    </row>
    <row r="804" ht="12.75">
      <c r="U804" s="19"/>
    </row>
    <row r="805" ht="12.75">
      <c r="U805" s="19"/>
    </row>
    <row r="806" ht="12.75">
      <c r="U806" s="19"/>
    </row>
    <row r="807" ht="12.75">
      <c r="U807" s="19"/>
    </row>
    <row r="808" ht="12.75">
      <c r="U808" s="19"/>
    </row>
    <row r="809" ht="12.75">
      <c r="U809" s="19"/>
    </row>
    <row r="810" ht="12.75">
      <c r="U810" s="19"/>
    </row>
    <row r="811" ht="12.75">
      <c r="U811" s="19"/>
    </row>
    <row r="812" ht="12.75">
      <c r="U812" s="19"/>
    </row>
    <row r="813" ht="12.75">
      <c r="U813" s="19"/>
    </row>
    <row r="814" ht="12.75">
      <c r="U814" s="19"/>
    </row>
    <row r="815" ht="12.75">
      <c r="U815" s="19"/>
    </row>
    <row r="816" ht="12.75">
      <c r="U816" s="19"/>
    </row>
    <row r="817" ht="12.75">
      <c r="U817" s="19"/>
    </row>
    <row r="818" ht="12.75">
      <c r="U818" s="19"/>
    </row>
    <row r="819" ht="12.75">
      <c r="U819" s="19"/>
    </row>
    <row r="820" ht="12.75">
      <c r="U820" s="19"/>
    </row>
    <row r="821" ht="12.75">
      <c r="U821" s="19"/>
    </row>
    <row r="822" ht="12.75">
      <c r="U822" s="19"/>
    </row>
    <row r="823" ht="12.75">
      <c r="U823" s="19"/>
    </row>
    <row r="824" ht="12.75">
      <c r="U824" s="19"/>
    </row>
    <row r="825" ht="12.75">
      <c r="U825" s="19"/>
    </row>
    <row r="826" ht="12.75">
      <c r="U826" s="19"/>
    </row>
    <row r="827" ht="12.75">
      <c r="U827" s="19"/>
    </row>
    <row r="828" ht="12.75">
      <c r="U828" s="19"/>
    </row>
    <row r="829" ht="12.75">
      <c r="U829" s="19"/>
    </row>
    <row r="830" ht="12.75">
      <c r="U830" s="19"/>
    </row>
    <row r="831" ht="12.75">
      <c r="U831" s="19"/>
    </row>
    <row r="832" ht="12.75">
      <c r="U832" s="19"/>
    </row>
    <row r="833" ht="12.75">
      <c r="U833" s="19"/>
    </row>
    <row r="834" ht="12.75">
      <c r="U834" s="19"/>
    </row>
    <row r="835" ht="12.75">
      <c r="U835" s="19"/>
    </row>
    <row r="836" ht="12.75">
      <c r="U836" s="19"/>
    </row>
    <row r="837" ht="12.75">
      <c r="U837" s="19"/>
    </row>
    <row r="838" ht="12.75">
      <c r="U838" s="19"/>
    </row>
    <row r="839" ht="12.75">
      <c r="U839" s="19"/>
    </row>
    <row r="840" ht="12.75">
      <c r="U840" s="19"/>
    </row>
    <row r="841" ht="12.75">
      <c r="U841" s="19"/>
    </row>
    <row r="842" ht="12.75">
      <c r="U842" s="19"/>
    </row>
    <row r="843" ht="12.75">
      <c r="U843" s="19"/>
    </row>
    <row r="844" ht="12.75">
      <c r="U844" s="19"/>
    </row>
    <row r="845" ht="12.75">
      <c r="U845" s="19"/>
    </row>
    <row r="846" ht="12.75">
      <c r="U846" s="19"/>
    </row>
    <row r="847" ht="12.75">
      <c r="U847" s="19"/>
    </row>
    <row r="848" ht="12.75">
      <c r="U848" s="19"/>
    </row>
    <row r="849" ht="12.75">
      <c r="U849" s="19"/>
    </row>
    <row r="850" ht="12.75">
      <c r="U850" s="19"/>
    </row>
    <row r="851" ht="12.75">
      <c r="U851" s="19"/>
    </row>
    <row r="852" ht="12.75">
      <c r="U852" s="19"/>
    </row>
    <row r="853" ht="12.75">
      <c r="U853" s="19"/>
    </row>
    <row r="854" ht="12.75">
      <c r="U854" s="19"/>
    </row>
    <row r="855" ht="12.75">
      <c r="U855" s="19"/>
    </row>
    <row r="856" ht="12.75">
      <c r="U856" s="19"/>
    </row>
    <row r="857" ht="12.75">
      <c r="U857" s="19"/>
    </row>
    <row r="858" ht="12.75">
      <c r="U858" s="19"/>
    </row>
    <row r="859" ht="12.75">
      <c r="U859" s="19"/>
    </row>
    <row r="860" ht="12.75">
      <c r="U860" s="19"/>
    </row>
    <row r="861" ht="12.75">
      <c r="U861" s="19"/>
    </row>
    <row r="862" ht="12.75">
      <c r="U862" s="19"/>
    </row>
    <row r="863" ht="12.75">
      <c r="U863" s="19"/>
    </row>
    <row r="864" ht="12.75">
      <c r="U864" s="19"/>
    </row>
    <row r="865" ht="12.75">
      <c r="U865" s="19"/>
    </row>
    <row r="866" ht="12.75">
      <c r="U866" s="19"/>
    </row>
    <row r="867" ht="12.75">
      <c r="U867" s="19"/>
    </row>
    <row r="868" ht="12.75">
      <c r="U868" s="19"/>
    </row>
    <row r="869" ht="12.75">
      <c r="U869" s="19"/>
    </row>
    <row r="870" ht="12.75">
      <c r="U870" s="19"/>
    </row>
    <row r="871" ht="12.75">
      <c r="U871" s="19"/>
    </row>
    <row r="872" ht="12.75">
      <c r="U872" s="19"/>
    </row>
    <row r="873" ht="12.75">
      <c r="U873" s="19"/>
    </row>
    <row r="874" ht="12.75">
      <c r="U874" s="19"/>
    </row>
    <row r="875" ht="12.75">
      <c r="U875" s="19"/>
    </row>
    <row r="876" ht="12.75">
      <c r="U876" s="19"/>
    </row>
    <row r="877" ht="12.75">
      <c r="U877" s="19"/>
    </row>
    <row r="878" ht="12.75">
      <c r="U878" s="19"/>
    </row>
    <row r="879" ht="12.75">
      <c r="U879" s="19"/>
    </row>
    <row r="880" ht="12.75">
      <c r="U880" s="19"/>
    </row>
    <row r="881" ht="12.75">
      <c r="U881" s="19"/>
    </row>
    <row r="882" ht="12.75">
      <c r="U882" s="19"/>
    </row>
    <row r="883" ht="12.75">
      <c r="U883" s="19"/>
    </row>
    <row r="884" ht="12.75">
      <c r="U884" s="19"/>
    </row>
    <row r="885" ht="12.75">
      <c r="U885" s="19"/>
    </row>
    <row r="886" ht="12.75">
      <c r="U886" s="19"/>
    </row>
    <row r="887" ht="12.75">
      <c r="U887" s="19"/>
    </row>
    <row r="888" ht="12.75">
      <c r="U888" s="19"/>
    </row>
    <row r="889" ht="12.75">
      <c r="U889" s="19"/>
    </row>
    <row r="890" ht="12.75">
      <c r="U890" s="19"/>
    </row>
    <row r="891" ht="12.75">
      <c r="U891" s="19"/>
    </row>
    <row r="892" ht="12.75">
      <c r="U892" s="19"/>
    </row>
    <row r="893" ht="12.75">
      <c r="U893" s="19"/>
    </row>
    <row r="894" ht="12.75">
      <c r="U894" s="19"/>
    </row>
    <row r="895" ht="12.75">
      <c r="U895" s="19"/>
    </row>
    <row r="896" ht="12.75">
      <c r="U896" s="19"/>
    </row>
    <row r="897" ht="12.75">
      <c r="U897" s="19"/>
    </row>
    <row r="898" ht="12.75">
      <c r="U898" s="19"/>
    </row>
    <row r="899" ht="12.75">
      <c r="U899" s="19"/>
    </row>
    <row r="900" ht="12.75">
      <c r="U900" s="19"/>
    </row>
    <row r="901" ht="12.75">
      <c r="U901" s="19"/>
    </row>
    <row r="902" ht="12.75">
      <c r="U902" s="19"/>
    </row>
    <row r="903" ht="12.75">
      <c r="U903" s="19"/>
    </row>
    <row r="904" ht="12.75">
      <c r="U904" s="19"/>
    </row>
    <row r="905" ht="12.75">
      <c r="U905" s="19"/>
    </row>
    <row r="906" ht="12.75">
      <c r="U906" s="19"/>
    </row>
    <row r="907" ht="12.75">
      <c r="U907" s="19"/>
    </row>
    <row r="908" ht="12.75">
      <c r="U908" s="19"/>
    </row>
    <row r="909" ht="12.75">
      <c r="U909" s="19"/>
    </row>
    <row r="910" ht="12.75">
      <c r="U910" s="19"/>
    </row>
    <row r="911" ht="12.75">
      <c r="U911" s="19"/>
    </row>
    <row r="912" ht="12.75">
      <c r="U912" s="19"/>
    </row>
    <row r="913" ht="12.75">
      <c r="U913" s="19"/>
    </row>
    <row r="914" ht="12.75">
      <c r="U914" s="19"/>
    </row>
    <row r="915" ht="12.75">
      <c r="U915" s="19"/>
    </row>
    <row r="916" ht="12.75">
      <c r="U916" s="19"/>
    </row>
    <row r="917" ht="12.75">
      <c r="U917" s="19"/>
    </row>
    <row r="918" ht="12.75">
      <c r="U918" s="19"/>
    </row>
    <row r="919" ht="12.75">
      <c r="U919" s="19"/>
    </row>
    <row r="920" ht="12.75">
      <c r="U920" s="19"/>
    </row>
    <row r="921" ht="12.75">
      <c r="U921" s="19"/>
    </row>
    <row r="922" ht="12.75">
      <c r="U922" s="19"/>
    </row>
    <row r="923" ht="12.75">
      <c r="U923" s="19"/>
    </row>
    <row r="924" ht="12.75">
      <c r="U924" s="19"/>
    </row>
    <row r="925" ht="12.75">
      <c r="U925" s="19"/>
    </row>
    <row r="926" ht="12.75">
      <c r="U926" s="19"/>
    </row>
    <row r="927" ht="12.75">
      <c r="U927" s="19"/>
    </row>
    <row r="928" ht="12.75">
      <c r="U928" s="19"/>
    </row>
    <row r="929" ht="12.75">
      <c r="U929" s="19"/>
    </row>
    <row r="930" ht="12.75">
      <c r="U930" s="19"/>
    </row>
    <row r="931" ht="12.75">
      <c r="U931" s="19"/>
    </row>
    <row r="932" ht="12.75">
      <c r="U932" s="19"/>
    </row>
    <row r="933" ht="12.75">
      <c r="U933" s="19"/>
    </row>
    <row r="934" ht="12.75">
      <c r="U934" s="19"/>
    </row>
    <row r="935" ht="12.75">
      <c r="U935" s="19"/>
    </row>
    <row r="936" ht="12.75">
      <c r="U936" s="19"/>
    </row>
    <row r="937" ht="12.75">
      <c r="U937" s="19"/>
    </row>
    <row r="938" ht="12.75">
      <c r="U938" s="19"/>
    </row>
    <row r="939" ht="12.75">
      <c r="U939" s="19"/>
    </row>
    <row r="940" ht="12.75">
      <c r="U940" s="19"/>
    </row>
    <row r="941" ht="12.75">
      <c r="U941" s="19"/>
    </row>
    <row r="942" ht="12.75">
      <c r="U942" s="19"/>
    </row>
    <row r="943" ht="12.75">
      <c r="U943" s="19"/>
    </row>
    <row r="944" ht="12.75">
      <c r="U944" s="19"/>
    </row>
    <row r="945" ht="12.75">
      <c r="U945" s="19"/>
    </row>
    <row r="946" ht="12.75">
      <c r="U946" s="19"/>
    </row>
    <row r="947" ht="12.75">
      <c r="U947" s="19"/>
    </row>
    <row r="948" ht="12.75">
      <c r="U948" s="19"/>
    </row>
    <row r="949" ht="12.75">
      <c r="U949" s="19"/>
    </row>
    <row r="950" ht="12.75">
      <c r="U950" s="19"/>
    </row>
    <row r="951" ht="12.75">
      <c r="U951" s="19"/>
    </row>
    <row r="952" ht="12.75">
      <c r="U952" s="19"/>
    </row>
    <row r="953" ht="12.75">
      <c r="U953" s="19"/>
    </row>
    <row r="954" ht="12.75">
      <c r="U954" s="19"/>
    </row>
    <row r="955" ht="12.75">
      <c r="U955" s="19"/>
    </row>
    <row r="956" ht="12.75">
      <c r="U956" s="19"/>
    </row>
    <row r="957" ht="12.75">
      <c r="U957" s="19"/>
    </row>
    <row r="958" ht="12.75">
      <c r="U958" s="19"/>
    </row>
    <row r="959" ht="12.75">
      <c r="U959" s="19"/>
    </row>
    <row r="960" ht="12.75">
      <c r="U960" s="19"/>
    </row>
    <row r="961" ht="12.75">
      <c r="U961" s="19"/>
    </row>
    <row r="962" ht="12.75">
      <c r="U962" s="19"/>
    </row>
    <row r="963" ht="12.75">
      <c r="U963" s="19"/>
    </row>
    <row r="964" ht="12.75">
      <c r="U964" s="19"/>
    </row>
    <row r="965" ht="12.75">
      <c r="U965" s="19"/>
    </row>
    <row r="966" ht="12.75">
      <c r="U966" s="19"/>
    </row>
    <row r="967" ht="12.75">
      <c r="U967" s="19"/>
    </row>
    <row r="968" ht="12.75">
      <c r="U968" s="19"/>
    </row>
    <row r="969" ht="12.75">
      <c r="U969" s="19"/>
    </row>
    <row r="970" ht="12.75">
      <c r="U970" s="19"/>
    </row>
    <row r="971" ht="12.75">
      <c r="U971" s="19"/>
    </row>
    <row r="972" ht="12.75">
      <c r="U972" s="19"/>
    </row>
    <row r="973" ht="12.75">
      <c r="U973" s="19"/>
    </row>
    <row r="974" ht="12.75">
      <c r="U974" s="19"/>
    </row>
    <row r="975" ht="12.75">
      <c r="U975" s="19"/>
    </row>
    <row r="976" ht="12.75">
      <c r="U976" s="19"/>
    </row>
    <row r="977" ht="12.75">
      <c r="U977" s="19"/>
    </row>
    <row r="978" ht="12.75">
      <c r="U978" s="19"/>
    </row>
    <row r="979" ht="12.75">
      <c r="U979" s="19"/>
    </row>
    <row r="980" ht="12.75">
      <c r="U980" s="19"/>
    </row>
    <row r="981" ht="12.75">
      <c r="U981" s="19"/>
    </row>
    <row r="982" ht="12.75">
      <c r="U982" s="19"/>
    </row>
    <row r="983" ht="12.75">
      <c r="U983" s="19"/>
    </row>
    <row r="984" ht="12.75">
      <c r="U984" s="19"/>
    </row>
    <row r="985" ht="12.75">
      <c r="U985" s="19"/>
    </row>
    <row r="986" ht="12.75">
      <c r="U986" s="19"/>
    </row>
    <row r="987" ht="12.75">
      <c r="U987" s="19"/>
    </row>
    <row r="988" ht="12.75">
      <c r="U988" s="19"/>
    </row>
    <row r="989" ht="12.75">
      <c r="U989" s="19"/>
    </row>
    <row r="990" ht="12.75">
      <c r="U990" s="19"/>
    </row>
    <row r="991" ht="12.75">
      <c r="U991" s="19"/>
    </row>
    <row r="992" ht="12.75">
      <c r="U992" s="19"/>
    </row>
    <row r="993" ht="12.75">
      <c r="U993" s="19"/>
    </row>
    <row r="994" ht="12.75">
      <c r="U994" s="19"/>
    </row>
    <row r="995" ht="12.75">
      <c r="U995" s="19"/>
    </row>
    <row r="996" ht="12.75">
      <c r="U996" s="19"/>
    </row>
    <row r="997" ht="12.75">
      <c r="U997" s="19"/>
    </row>
    <row r="998" ht="12.75">
      <c r="U998" s="19"/>
    </row>
    <row r="999" ht="12.75">
      <c r="U999" s="19"/>
    </row>
    <row r="1000" ht="12.75">
      <c r="U1000" s="19"/>
    </row>
    <row r="1001" ht="12.75">
      <c r="U1001" s="19"/>
    </row>
    <row r="1002" ht="12.75">
      <c r="U1002" s="19"/>
    </row>
    <row r="1003" ht="12.75">
      <c r="U1003" s="19"/>
    </row>
    <row r="1004" ht="12.75">
      <c r="U1004" s="19"/>
    </row>
    <row r="1005" ht="12.75">
      <c r="U1005" s="19"/>
    </row>
    <row r="1006" ht="12.75">
      <c r="U1006" s="19"/>
    </row>
    <row r="1007" ht="12.75">
      <c r="U1007" s="19"/>
    </row>
    <row r="1008" ht="12.75">
      <c r="U1008" s="19"/>
    </row>
    <row r="1009" ht="12.75">
      <c r="U1009" s="19"/>
    </row>
    <row r="1010" ht="12.75">
      <c r="U1010" s="19"/>
    </row>
    <row r="1011" ht="12.75">
      <c r="U1011" s="19"/>
    </row>
    <row r="1012" ht="12.75">
      <c r="U1012" s="19"/>
    </row>
    <row r="1013" ht="12.75">
      <c r="U1013" s="19"/>
    </row>
    <row r="1014" ht="12.75">
      <c r="U1014" s="19"/>
    </row>
    <row r="1015" ht="12.75">
      <c r="U1015" s="19"/>
    </row>
    <row r="1016" ht="12.75">
      <c r="U1016" s="19"/>
    </row>
    <row r="1017" ht="12.75">
      <c r="U1017" s="19"/>
    </row>
    <row r="1018" ht="12.75">
      <c r="U1018" s="19"/>
    </row>
    <row r="1019" ht="12.75">
      <c r="U1019" s="19"/>
    </row>
    <row r="1020" ht="12.75">
      <c r="U1020" s="19"/>
    </row>
    <row r="1021" ht="12.75">
      <c r="U1021" s="19"/>
    </row>
    <row r="1022" ht="12.75">
      <c r="U1022" s="19"/>
    </row>
    <row r="1023" ht="12.75">
      <c r="U1023" s="19"/>
    </row>
    <row r="1024" ht="12.75">
      <c r="U1024" s="19"/>
    </row>
    <row r="1025" ht="12.75">
      <c r="U1025" s="19"/>
    </row>
    <row r="1026" ht="12.75">
      <c r="U1026" s="19"/>
    </row>
    <row r="1027" ht="12.75">
      <c r="U1027" s="19"/>
    </row>
    <row r="1028" ht="12.75">
      <c r="U1028" s="19"/>
    </row>
    <row r="1029" ht="12.75">
      <c r="U1029" s="19"/>
    </row>
    <row r="1030" ht="12.75">
      <c r="U1030" s="19"/>
    </row>
    <row r="1031" ht="12.75">
      <c r="U1031" s="19"/>
    </row>
    <row r="1032" ht="12.75">
      <c r="U1032" s="19"/>
    </row>
    <row r="1033" ht="12.75">
      <c r="U1033" s="19"/>
    </row>
    <row r="1034" ht="12.75">
      <c r="U1034" s="19"/>
    </row>
    <row r="1035" ht="12.75">
      <c r="U1035" s="19"/>
    </row>
    <row r="1036" ht="12.75">
      <c r="U1036" s="19"/>
    </row>
    <row r="1037" ht="12.75">
      <c r="U1037" s="19"/>
    </row>
    <row r="1038" ht="12.75">
      <c r="U1038" s="19"/>
    </row>
    <row r="1039" ht="12.75">
      <c r="U1039" s="19"/>
    </row>
    <row r="1040" ht="12.75">
      <c r="U1040" s="19"/>
    </row>
    <row r="1041" ht="12.75">
      <c r="U1041" s="19"/>
    </row>
    <row r="1042" ht="12.75">
      <c r="U1042" s="19"/>
    </row>
    <row r="1043" ht="12.75">
      <c r="U1043" s="19"/>
    </row>
    <row r="1044" ht="12.75">
      <c r="U1044" s="19"/>
    </row>
    <row r="1045" ht="12.75">
      <c r="U1045" s="19"/>
    </row>
    <row r="1046" ht="12.75">
      <c r="U1046" s="19"/>
    </row>
    <row r="1047" ht="12.75">
      <c r="U1047" s="19"/>
    </row>
    <row r="1048" ht="12.75">
      <c r="U1048" s="19"/>
    </row>
    <row r="1049" ht="12.75">
      <c r="U1049" s="19"/>
    </row>
    <row r="1050" ht="12.75">
      <c r="U1050" s="19"/>
    </row>
    <row r="1051" ht="12.75">
      <c r="U1051" s="19"/>
    </row>
    <row r="1052" ht="12.75">
      <c r="U1052" s="19"/>
    </row>
    <row r="1053" ht="12.75">
      <c r="U1053" s="19"/>
    </row>
    <row r="1054" ht="12.75">
      <c r="U1054" s="19"/>
    </row>
    <row r="1055" ht="12.75">
      <c r="U1055" s="19"/>
    </row>
    <row r="1056" ht="12.75">
      <c r="U1056" s="19"/>
    </row>
    <row r="1057" ht="12.75">
      <c r="U1057" s="19"/>
    </row>
    <row r="1058" ht="12.75">
      <c r="U1058" s="19"/>
    </row>
    <row r="1059" ht="12.75">
      <c r="U1059" s="19"/>
    </row>
    <row r="1060" ht="12.75">
      <c r="U1060" s="19"/>
    </row>
    <row r="1061" ht="12.75">
      <c r="U1061" s="19"/>
    </row>
    <row r="1062" ht="12.75">
      <c r="U1062" s="19"/>
    </row>
    <row r="1063" ht="12.75">
      <c r="U1063" s="19"/>
    </row>
    <row r="1064" ht="12.75">
      <c r="U1064" s="19"/>
    </row>
    <row r="1065" ht="12.75">
      <c r="U1065" s="19"/>
    </row>
    <row r="1066" ht="12.75">
      <c r="U1066" s="19"/>
    </row>
    <row r="1067" ht="12.75">
      <c r="U1067" s="19"/>
    </row>
    <row r="1068" ht="12.75">
      <c r="U1068" s="19"/>
    </row>
    <row r="1069" ht="12.75">
      <c r="U1069" s="19"/>
    </row>
    <row r="1070" ht="12.75">
      <c r="U1070" s="19"/>
    </row>
    <row r="1071" ht="12.75">
      <c r="U1071" s="19"/>
    </row>
    <row r="1072" ht="12.75">
      <c r="U1072" s="19"/>
    </row>
    <row r="1073" ht="12.75">
      <c r="U1073" s="19"/>
    </row>
    <row r="1074" ht="12.75">
      <c r="U1074" s="19"/>
    </row>
    <row r="1075" ht="12.75">
      <c r="U1075" s="19"/>
    </row>
    <row r="1076" ht="12.75">
      <c r="U1076" s="19"/>
    </row>
    <row r="1077" ht="12.75">
      <c r="U1077" s="19"/>
    </row>
    <row r="1078" ht="12.75">
      <c r="U1078" s="19"/>
    </row>
    <row r="1079" ht="12.75">
      <c r="U1079" s="19"/>
    </row>
    <row r="1080" ht="12.75">
      <c r="U1080" s="19"/>
    </row>
    <row r="1081" ht="12.75">
      <c r="U1081" s="19"/>
    </row>
    <row r="1082" ht="12.75">
      <c r="U1082" s="19"/>
    </row>
    <row r="1083" ht="12.75">
      <c r="U1083" s="19"/>
    </row>
    <row r="1084" ht="12.75">
      <c r="U1084" s="19"/>
    </row>
    <row r="1085" ht="12.75">
      <c r="U1085" s="19"/>
    </row>
    <row r="1086" ht="12.75">
      <c r="U1086" s="19"/>
    </row>
    <row r="1087" ht="12.75">
      <c r="U1087" s="19"/>
    </row>
    <row r="1088" ht="12.75">
      <c r="U1088" s="19"/>
    </row>
    <row r="1089" ht="12.75">
      <c r="U1089" s="19"/>
    </row>
    <row r="1090" ht="12.75">
      <c r="U1090" s="19"/>
    </row>
    <row r="1091" ht="12.75">
      <c r="U1091" s="19"/>
    </row>
    <row r="1092" ht="12.75">
      <c r="U1092" s="19"/>
    </row>
    <row r="1093" ht="12.75">
      <c r="U1093" s="19"/>
    </row>
    <row r="1094" ht="12.75">
      <c r="U1094" s="19"/>
    </row>
    <row r="1095" ht="12.75">
      <c r="U1095" s="19"/>
    </row>
    <row r="1096" ht="12.75">
      <c r="U1096" s="19"/>
    </row>
    <row r="1097" ht="12.75">
      <c r="U1097" s="19"/>
    </row>
    <row r="1098" ht="12.75">
      <c r="U1098" s="19"/>
    </row>
    <row r="1099" ht="12.75">
      <c r="U1099" s="19"/>
    </row>
    <row r="1100" ht="12.75">
      <c r="U1100" s="19"/>
    </row>
    <row r="1101" ht="12.75">
      <c r="U1101" s="19"/>
    </row>
    <row r="1102" ht="12.75">
      <c r="U1102" s="19"/>
    </row>
    <row r="1103" ht="12.75">
      <c r="U1103" s="19"/>
    </row>
    <row r="1104" ht="12.75">
      <c r="U1104" s="19"/>
    </row>
    <row r="1105" ht="12.75">
      <c r="U1105" s="19"/>
    </row>
    <row r="1106" ht="12.75">
      <c r="U1106" s="19"/>
    </row>
    <row r="1107" ht="12.75">
      <c r="U1107" s="19"/>
    </row>
    <row r="1108" ht="12.75">
      <c r="U1108" s="19"/>
    </row>
    <row r="1109" ht="12.75">
      <c r="U1109" s="19"/>
    </row>
    <row r="1110" ht="12.75">
      <c r="U1110" s="19"/>
    </row>
    <row r="1111" ht="12.75">
      <c r="U1111" s="19"/>
    </row>
    <row r="1112" ht="12.75">
      <c r="U1112" s="19"/>
    </row>
    <row r="1113" ht="12.75">
      <c r="U1113" s="19"/>
    </row>
    <row r="1114" ht="12.75">
      <c r="U1114" s="19"/>
    </row>
    <row r="1115" ht="12.75">
      <c r="U1115" s="19"/>
    </row>
    <row r="1116" ht="12.75">
      <c r="U1116" s="19"/>
    </row>
    <row r="1117" ht="12.75">
      <c r="U1117" s="19"/>
    </row>
    <row r="1118" ht="12.75">
      <c r="U1118" s="19"/>
    </row>
    <row r="1119" ht="12.75">
      <c r="U1119" s="19"/>
    </row>
    <row r="1120" ht="12.75">
      <c r="U1120" s="19"/>
    </row>
    <row r="1121" ht="12.75">
      <c r="U1121" s="19"/>
    </row>
    <row r="1122" ht="12.75">
      <c r="U1122" s="19"/>
    </row>
    <row r="1123" ht="12.75">
      <c r="U1123" s="19"/>
    </row>
    <row r="1124" ht="12.75">
      <c r="U1124" s="19"/>
    </row>
    <row r="1125" ht="12.75">
      <c r="U1125" s="19"/>
    </row>
    <row r="1126" ht="12.75">
      <c r="U1126" s="19"/>
    </row>
    <row r="1127" ht="12.75">
      <c r="U1127" s="19"/>
    </row>
    <row r="1128" ht="12.75">
      <c r="U1128" s="19"/>
    </row>
    <row r="1129" ht="12.75">
      <c r="U1129" s="19"/>
    </row>
    <row r="1130" ht="12.75">
      <c r="U1130" s="19"/>
    </row>
    <row r="1131" ht="12.75">
      <c r="U1131" s="19"/>
    </row>
    <row r="1132" ht="12.75">
      <c r="U1132" s="19"/>
    </row>
    <row r="1133" ht="12.75">
      <c r="U1133" s="19"/>
    </row>
    <row r="1134" ht="12.75">
      <c r="U1134" s="19"/>
    </row>
    <row r="1135" ht="12.75">
      <c r="U1135" s="19"/>
    </row>
    <row r="1136" ht="12.75">
      <c r="U1136" s="19"/>
    </row>
    <row r="1137" ht="12.75">
      <c r="U1137" s="19"/>
    </row>
    <row r="1138" ht="12.75">
      <c r="U1138" s="19"/>
    </row>
    <row r="1139" ht="12.75">
      <c r="U1139" s="19"/>
    </row>
    <row r="1140" ht="12.75">
      <c r="U1140" s="19"/>
    </row>
    <row r="1141" ht="12.75">
      <c r="U1141" s="19"/>
    </row>
    <row r="1142" ht="12.75">
      <c r="U1142" s="19"/>
    </row>
    <row r="1143" ht="12.75">
      <c r="U1143" s="19"/>
    </row>
    <row r="1144" ht="12.75">
      <c r="U1144" s="19"/>
    </row>
    <row r="1145" ht="12.75">
      <c r="U1145" s="19"/>
    </row>
    <row r="1146" ht="12.75">
      <c r="U1146" s="19"/>
    </row>
    <row r="1147" ht="12.75">
      <c r="U1147" s="19"/>
    </row>
    <row r="1148" ht="12.75">
      <c r="U1148" s="19"/>
    </row>
    <row r="1149" ht="12.75">
      <c r="U1149" s="19"/>
    </row>
    <row r="1150" ht="12.75">
      <c r="U1150" s="19"/>
    </row>
    <row r="1151" ht="12.75">
      <c r="U1151" s="19"/>
    </row>
    <row r="1152" ht="12.75">
      <c r="U1152" s="19"/>
    </row>
    <row r="1153" ht="12.75">
      <c r="U1153" s="19"/>
    </row>
    <row r="1154" ht="12.75">
      <c r="U1154" s="19"/>
    </row>
    <row r="1155" ht="12.75">
      <c r="U1155" s="19"/>
    </row>
    <row r="1156" ht="12.75">
      <c r="U1156" s="19"/>
    </row>
    <row r="1157" ht="12.75">
      <c r="U1157" s="19"/>
    </row>
    <row r="1158" ht="12.75">
      <c r="U1158" s="19"/>
    </row>
    <row r="1159" ht="12.75">
      <c r="U1159" s="19"/>
    </row>
    <row r="1160" ht="12.75">
      <c r="U1160" s="19"/>
    </row>
    <row r="1161" ht="12.75">
      <c r="U1161" s="19"/>
    </row>
    <row r="1162" ht="12.75">
      <c r="U1162" s="19"/>
    </row>
    <row r="1163" ht="12.75">
      <c r="U1163" s="19"/>
    </row>
    <row r="1164" ht="12.75">
      <c r="U1164" s="19"/>
    </row>
    <row r="1165" ht="12.75">
      <c r="U1165" s="19"/>
    </row>
    <row r="1166" ht="12.75">
      <c r="U1166" s="19"/>
    </row>
    <row r="1167" ht="12.75">
      <c r="U1167" s="19"/>
    </row>
    <row r="1168" ht="12.75">
      <c r="U1168" s="19"/>
    </row>
    <row r="1169" ht="12.75">
      <c r="U1169" s="19"/>
    </row>
    <row r="1170" ht="12.75">
      <c r="U1170" s="19"/>
    </row>
    <row r="1171" ht="12.75">
      <c r="U1171" s="19"/>
    </row>
    <row r="1172" ht="12.75">
      <c r="U1172" s="19"/>
    </row>
    <row r="1173" ht="12.75">
      <c r="U1173" s="19"/>
    </row>
    <row r="1174" ht="12.75">
      <c r="U1174" s="19"/>
    </row>
    <row r="1175" ht="12.75">
      <c r="U1175" s="19"/>
    </row>
    <row r="1176" ht="12.75">
      <c r="U1176" s="19"/>
    </row>
    <row r="1177" ht="12.75">
      <c r="U1177" s="19"/>
    </row>
    <row r="1178" ht="12.75">
      <c r="U1178" s="19"/>
    </row>
    <row r="1179" ht="12.75">
      <c r="U1179" s="19"/>
    </row>
    <row r="1180" ht="12.75">
      <c r="U1180" s="19"/>
    </row>
    <row r="1181" ht="12.75">
      <c r="U1181" s="19"/>
    </row>
    <row r="1182" ht="12.75">
      <c r="U1182" s="19"/>
    </row>
    <row r="1183" ht="12.75">
      <c r="U1183" s="19"/>
    </row>
    <row r="1184" ht="12.75">
      <c r="U1184" s="19"/>
    </row>
    <row r="1185" ht="12.75">
      <c r="U1185" s="19"/>
    </row>
    <row r="1186" ht="12.75">
      <c r="U1186" s="19"/>
    </row>
    <row r="1187" ht="12.75">
      <c r="U1187" s="19"/>
    </row>
    <row r="1188" ht="12.75">
      <c r="U1188" s="19"/>
    </row>
    <row r="1189" ht="12.75">
      <c r="U1189" s="19"/>
    </row>
    <row r="1190" ht="12.75">
      <c r="U1190" s="19"/>
    </row>
    <row r="1191" ht="12.75">
      <c r="U1191" s="19"/>
    </row>
    <row r="1192" ht="12.75">
      <c r="U1192" s="19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C6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3" customWidth="1"/>
  </cols>
  <sheetData>
    <row r="1" ht="11.25">
      <c r="A1" s="12" t="s">
        <v>12</v>
      </c>
    </row>
    <row r="3" spans="2:8" ht="11.25">
      <c r="B3" s="14" t="s">
        <v>16</v>
      </c>
      <c r="E3" s="15" t="s">
        <v>17</v>
      </c>
      <c r="H3" s="15" t="s">
        <v>22</v>
      </c>
    </row>
    <row r="4" spans="2:6" ht="11.25">
      <c r="B4" s="16" t="s">
        <v>81</v>
      </c>
      <c r="C4" s="13">
        <f>IF(Vtoc1="","",MATCH(Vtoc1,RHV,0)+15)</f>
        <v>16</v>
      </c>
      <c r="E4" s="16" t="s">
        <v>91</v>
      </c>
      <c r="F4" s="16">
        <f>IF(VtoP="","",MATCH(VtoP,RHV,0)+15)</f>
        <v>19</v>
      </c>
    </row>
    <row r="5" spans="2:6" ht="11.25">
      <c r="B5" s="16" t="s">
        <v>82</v>
      </c>
      <c r="C5" s="13">
        <f>IF(Vtoc2="","",MATCH(Vtoc2,RHV,0)+15)</f>
        <v>17</v>
      </c>
      <c r="E5" s="16" t="s">
        <v>19</v>
      </c>
      <c r="F5" s="16">
        <f>(EndV-StartV)/(NmP-1)</f>
        <v>6.666666666666667</v>
      </c>
    </row>
    <row r="6" spans="2:6" ht="11.25">
      <c r="B6" s="16" t="s">
        <v>83</v>
      </c>
      <c r="C6" s="13">
        <f>IF(Vtoc3="","",MATCH(Vtoc3,RHV,0)+15)</f>
        <v>18</v>
      </c>
      <c r="E6" s="16" t="s">
        <v>92</v>
      </c>
      <c r="F6" s="16">
        <f ca="1">IF(VtoP="","",INDIRECT(ADDRESS(VPth,17,1,,"Input")))</f>
        <v>44.94</v>
      </c>
    </row>
    <row r="7" spans="2:6" ht="11.25">
      <c r="B7" s="16"/>
      <c r="E7" s="16" t="s">
        <v>93</v>
      </c>
      <c r="F7" s="16">
        <f ca="1">IF(VtoP="","",INDIRECT(ADDRESS(VPth,9,1,,"Input")))</f>
        <v>-0.022</v>
      </c>
    </row>
    <row r="8" spans="2:3" ht="11.25">
      <c r="B8" s="16" t="s">
        <v>84</v>
      </c>
      <c r="C8" s="13">
        <v>0.524</v>
      </c>
    </row>
    <row r="9" spans="2:3" ht="11.25">
      <c r="B9" s="16" t="s">
        <v>85</v>
      </c>
      <c r="C9" s="13">
        <v>-0.733</v>
      </c>
    </row>
    <row r="10" spans="2:3" ht="11.25">
      <c r="B10" s="16" t="s">
        <v>86</v>
      </c>
      <c r="C10" s="13">
        <v>-0.391</v>
      </c>
    </row>
    <row r="11" ht="11.25">
      <c r="B11" s="17"/>
    </row>
    <row r="12" spans="2:3" ht="11.25">
      <c r="B12" s="13" t="s">
        <v>88</v>
      </c>
      <c r="C12" s="13">
        <v>0.4</v>
      </c>
    </row>
    <row r="13" spans="2:31" ht="11.25">
      <c r="B13" s="13" t="s">
        <v>87</v>
      </c>
      <c r="C13" s="13">
        <v>0.47</v>
      </c>
      <c r="D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55" ht="11.25">
      <c r="B14" s="13" t="s">
        <v>89</v>
      </c>
      <c r="C14" s="13">
        <v>0.88</v>
      </c>
      <c r="D14" s="1"/>
      <c r="E14" s="5" t="s">
        <v>94</v>
      </c>
      <c r="F14" s="5" t="s">
        <v>20</v>
      </c>
      <c r="G14" s="1"/>
      <c r="H14" s="9" t="s">
        <v>24</v>
      </c>
      <c r="I14" s="9" t="s">
        <v>23</v>
      </c>
      <c r="J14" s="9" t="str">
        <f>cat1</f>
        <v>SD</v>
      </c>
      <c r="K14" s="9" t="str">
        <f>cat2</f>
        <v>DA</v>
      </c>
      <c r="L14" s="9" t="str">
        <f>IF(cat3="","",cat3)</f>
        <v>AG</v>
      </c>
      <c r="M14" s="9" t="str">
        <f>IF(cat4="","",cat4)</f>
        <v>SA</v>
      </c>
      <c r="N14" s="9">
        <f>IF(cat5="","",cat5)</f>
      </c>
      <c r="O14" s="9">
        <f>IF(cat6="","",cat6)</f>
      </c>
      <c r="P14" s="9">
        <f>IF(cat7="","",cat7)</f>
      </c>
      <c r="Q14" s="9">
        <f>IF(cat8="","",cat8)</f>
      </c>
      <c r="R14" s="9">
        <f>IF(cat9="","",cat9)</f>
      </c>
      <c r="S14" s="18">
        <f>IF(cat10="","",cat10)</f>
      </c>
      <c r="T14" s="9" t="s">
        <v>25</v>
      </c>
      <c r="U14" s="9" t="s">
        <v>26</v>
      </c>
      <c r="V14" s="9" t="str">
        <f>cat1</f>
        <v>SD</v>
      </c>
      <c r="W14" s="9" t="str">
        <f>cat2</f>
        <v>DA</v>
      </c>
      <c r="X14" s="9" t="str">
        <f>IF(cat3="","",cat3)</f>
        <v>AG</v>
      </c>
      <c r="Y14" s="9" t="str">
        <f>IF(cat4="","",cat4)</f>
        <v>SA</v>
      </c>
      <c r="Z14" s="9">
        <f>IF(cat5="","",cat5)</f>
      </c>
      <c r="AA14" s="9">
        <f>IF(cat6="","",cat6)</f>
      </c>
      <c r="AB14" s="9">
        <f>IF(cat7="","",cat7)</f>
      </c>
      <c r="AC14" s="9">
        <f>IF(cat8="","",cat8)</f>
      </c>
      <c r="AD14" s="9">
        <f>IF(cat9="","",cat9)</f>
      </c>
      <c r="AE14" s="18">
        <f>IF(cat10="","",cat10)</f>
      </c>
      <c r="AF14" s="9" t="s">
        <v>30</v>
      </c>
      <c r="AG14" s="9" t="s">
        <v>31</v>
      </c>
      <c r="AH14" s="9" t="str">
        <f>cat1</f>
        <v>SD</v>
      </c>
      <c r="AI14" s="9" t="str">
        <f>cat2</f>
        <v>DA</v>
      </c>
      <c r="AJ14" s="9" t="str">
        <f>IF(cat3="","",cat3)</f>
        <v>AG</v>
      </c>
      <c r="AK14" s="9" t="str">
        <f>IF(cat4="","",cat4)</f>
        <v>SA</v>
      </c>
      <c r="AL14" s="9">
        <f>IF(cat5="","",cat5)</f>
      </c>
      <c r="AM14" s="9">
        <f>IF(cat6="","",cat6)</f>
      </c>
      <c r="AN14" s="9">
        <f>IF(cat7="","",cat7)</f>
      </c>
      <c r="AO14" s="9">
        <f>IF(cat8="","",cat8)</f>
      </c>
      <c r="AP14" s="9">
        <f>IF(cat9="","",cat9)</f>
      </c>
      <c r="AQ14" s="18">
        <f>IF(cat10="","",cat10)</f>
      </c>
      <c r="AR14" s="9" t="s">
        <v>28</v>
      </c>
      <c r="AS14" s="9" t="s">
        <v>27</v>
      </c>
      <c r="AT14" s="9" t="str">
        <f>cat1</f>
        <v>SD</v>
      </c>
      <c r="AU14" s="9" t="str">
        <f>cat2</f>
        <v>DA</v>
      </c>
      <c r="AV14" s="9" t="str">
        <f>IF(cat3="","",cat3)</f>
        <v>AG</v>
      </c>
      <c r="AW14" s="9" t="str">
        <f>IF(cat4="","",cat4)</f>
        <v>SA</v>
      </c>
      <c r="AX14" s="9">
        <f>IF(cat5="","",cat5)</f>
      </c>
      <c r="AY14" s="9">
        <f>IF(cat6="","",cat6)</f>
      </c>
      <c r="AZ14" s="9">
        <f>IF(cat7="","",cat7)</f>
      </c>
      <c r="BA14" s="9">
        <f>IF(cat8="","",cat8)</f>
      </c>
      <c r="BB14" s="9">
        <f>IF(cat9="","",cat9)</f>
      </c>
      <c r="BC14" s="18">
        <f>IF(cat10="","",cat10)</f>
      </c>
    </row>
    <row r="15" spans="4:31" ht="11.25"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55" ht="11.25">
      <c r="B16" s="13" t="s">
        <v>77</v>
      </c>
      <c r="C16" s="13">
        <f>SUMPRODUCT(b,Bval)</f>
        <v>-0.41138999999999964</v>
      </c>
      <c r="D16" s="1"/>
      <c r="E16" s="1">
        <f>StartV</f>
        <v>10</v>
      </c>
      <c r="F16" s="1">
        <f aca="true" t="shared" si="0" ref="F16:F25">IF(E16="","",+Sbase-BVtoP*(PbaseV-E16))</f>
        <v>0.3572900000000003</v>
      </c>
      <c r="G16" s="1"/>
      <c r="H16" s="13">
        <f>IF(b="","",+Sbase-b*Bval)</f>
        <v>-0.6209899999999997</v>
      </c>
      <c r="I16" s="1">
        <f>IF(b="","",Sbase+b*(1-Bval))</f>
        <v>-0.09698999999999963</v>
      </c>
      <c r="J16" s="1">
        <f>+ocdf(Cut1,I16)-ocdf(Cut1,H16)</f>
        <v>-0.050932879314826554</v>
      </c>
      <c r="K16" s="1">
        <f>IF(K14="","",IF(L14="",ocdf(Cut1,H16)-ocdf(Cut1,I16),(ocdf(cut2,I16)-ocdf(Cut1,I16))-(ocdf(cut2,H16)-ocdf(Cut1,H16))))</f>
        <v>-0.07698253576730918</v>
      </c>
      <c r="L16" s="1">
        <f>IF(L14="","",IF(M14="",ocdf(cut2,H16)-ocdf(cut2,I16),(ocdf(cut3,I16)-ocdf(cut2,I16))-(ocdf(cut3,H16)-ocdf(cut2,H16))))</f>
        <v>0.05555672561552727</v>
      </c>
      <c r="M16" s="1">
        <f>IF(M14="","",IF(N14="",ocdf(cut3,H16)-ocdf(cut3,I16),(ocdf(cut4,I16)-ocdf(cut3,I16))-(ocdf(cut4,H16)-ocdf(cut3,H16))))</f>
        <v>0.0723586894666085</v>
      </c>
      <c r="N16" s="1">
        <f>IF(N14="","",IF(O14="",ocdf(cut4,H16)-ocdf(cut4,I16),(ocdf(cut5,I16)-ocdf(cut4,I16))-(ocdf(cut5,H16)-ocdf(cut4,H16))))</f>
      </c>
      <c r="O16" s="1">
        <f>IF(O14="","",IF(P14="",ocdf(cut5,H16)-ocdf(cut5,I16),(ocdf(cut6,I16)-ocdf(cut5,I16))-(ocdf(cut6,H16)-ocdf(cut5,H16))))</f>
      </c>
      <c r="P16" s="1">
        <f>IF(P14="","",IF(Q14="",ocdf(cut6,H16)-ocdf(cut6,I16),(ocdf(cut7,I16)-ocdf(cut6,I16))-(ocdf(cut7,H16)-ocdf(cut6,H16))))</f>
      </c>
      <c r="Q16" s="1">
        <f>IF(Q14="","",IF(R14="",ocdf(cut7,H16)-ocdf(cut7,I16),(ocdf(cut8,I16)-ocdf(cut7,I16))-(ocdf(cut8,H16)-ocdf(cut7,H16))))</f>
      </c>
      <c r="R16" s="1">
        <f>IF(R14="","",IF(S14="",ocdf(cut8,H16)-ocdf(cut8,I16),(ocdf(cut9,I16)-ocdf(cut8,I16))-(ocdf(cut9,H16)-ocdf(cut8,H16))))</f>
      </c>
      <c r="S16" s="1">
        <f>IF(S14="","",IF(T14="",ocdf(cut9,H16)-ocdf(cut9,I16),(ocdf(cut10,I16)-ocdf(cut9,I16))-(ocdf(cut10,H16)-ocdf(cut9,H16))))</f>
      </c>
      <c r="T16" s="1">
        <f>IF(b="","",Sbase+b*(min-Bval))</f>
        <v>-0.6209899999999997</v>
      </c>
      <c r="U16" s="1">
        <f>IF(b="","",Sbase+b*(max-Bval))</f>
        <v>-0.09698999999999963</v>
      </c>
      <c r="V16" s="1">
        <f>+ocdf(Cut1,U16)-ocdf(Cut1,T16)</f>
        <v>-0.050932879314826554</v>
      </c>
      <c r="W16" s="1">
        <f>IF(W14="","",IF(X14="",ocdf(Cut1,T16)-ocdf(Cut1,U16),(ocdf(cut2,U16)-ocdf(Cut1,U16))-(ocdf(cut2,T16)-ocdf(Cut1,T16))))</f>
        <v>-0.07698253576730918</v>
      </c>
      <c r="X16" s="1">
        <f>IF(X14="","",IF(Y14="",ocdf(cut2,T16)-ocdf(cut2,U16),(ocdf(cut3,U16)-ocdf(cut2,U16))-(ocdf(cut3,T16)-ocdf(cut2,T16))))</f>
        <v>0.05555672561552727</v>
      </c>
      <c r="Y16" s="1">
        <f>IF(Y14="","",IF(Z14="",ocdf(cut3,T16)-ocdf(cut3,U16),(ocdf(cut4,U16)-ocdf(cut3,U16))-(ocdf(cut4,T16)-ocdf(cut3,T16))))</f>
        <v>0.0723586894666085</v>
      </c>
      <c r="Z16" s="1">
        <f>IF(Z14="","",IF(AA14="",ocdf(cut4,T16)-ocdf(cut4,U16),(ocdf(cut5,U16)-ocdf(cut4,U16))-(ocdf(cut5,T16)-ocdf(cut4,T16))))</f>
      </c>
      <c r="AA16" s="1">
        <f>IF(AA14="","",IF(AB14="",ocdf(cut5,T16)-ocdf(cut5,U16),(ocdf(cut6,U16)-ocdf(cut5,U16))-(ocdf(cut6,T16)-ocdf(cut5,T16))))</f>
      </c>
      <c r="AB16" s="1">
        <f>IF(AB14="","",IF(AC14="",ocdf(cut6,T16)-ocdf(cut6,U16),(ocdf(cut7,U16)-ocdf(cut6,U16))-(ocdf(cut7,T16)-ocdf(cut6,T16))))</f>
      </c>
      <c r="AC16" s="1">
        <f>IF(AC14="","",IF(AD14="",ocdf(cut7,T16)-ocdf(cut7,U16),(ocdf(cut8,U16)-ocdf(cut7,U16))-(ocdf(cut8,T16)-ocdf(cut7,T16))))</f>
      </c>
      <c r="AD16" s="1">
        <f>IF(AD14="","",IF(AE14="",ocdf(cut8,T16)-ocdf(cut8,U16),(ocdf(cut9,U16)-ocdf(cut8,U16))-(ocdf(cut9,T16)-ocdf(cut8,T16))))</f>
      </c>
      <c r="AE16" s="1">
        <f>IF(AE14="","",IF(AF14="",ocdf(cut9,T16)-ocdf(cut9,U16),(ocdf(cut10,U16)-ocdf(cut9,U16))-(ocdf(cut10,T16)-ocdf(cut9,T16))))</f>
      </c>
      <c r="AF16" s="1">
        <f>IF(b="","",Sbase+b*(mn-0.5-Bval))</f>
        <v>-0.6733899999999997</v>
      </c>
      <c r="AG16" s="1">
        <f>IF(b="","",Sbase+b*(mn+0.5-Bval))</f>
        <v>-0.14938999999999963</v>
      </c>
      <c r="AH16" s="1">
        <f>+ocdf(Cut1,AG16)-ocdf(Cut1,AF16)</f>
        <v>-0.05303707355374389</v>
      </c>
      <c r="AI16" s="1">
        <f>IF(AI14="","",IF(AJ14="",ocdf(Cut1,AF16)-ocdf(Cut1,AG16),(ocdf(cut2,AG16)-ocdf(Cut1,AG16))-(ocdf(cut2,AF16)-ocdf(Cut1,AF16))))</f>
        <v>-0.07568682051743164</v>
      </c>
      <c r="AJ16" s="1">
        <f>IF(AJ14="","",IF(AK14="",ocdf(cut2,AF16)-ocdf(cut2,AG16),(ocdf(cut3,AG16)-ocdf(cut2,AG16))-(ocdf(cut3,AF16)-ocdf(cut2,AF16))))</f>
        <v>0.05886417255809023</v>
      </c>
      <c r="AK16" s="1">
        <f>IF(AK14="","",IF(AL14="",ocdf(cut3,AF16)-ocdf(cut3,AG16),(ocdf(cut4,AG16)-ocdf(cut3,AG16))-(ocdf(cut4,AF16)-ocdf(cut3,AF16))))</f>
        <v>0.06985972151308528</v>
      </c>
      <c r="AL16" s="1">
        <f>IF(AL14="","",IF(AM14="",ocdf(cut4,AF16)-ocdf(cut4,AG16),(ocdf(cut5,AG16)-ocdf(cut4,AG16))-(ocdf(cut5,AF16)-ocdf(cut4,AF16))))</f>
      </c>
      <c r="AM16" s="1">
        <f>IF(AM14="","",IF(AN14="",ocdf(cut5,AF16)-ocdf(cut5,AG16),(ocdf(cut6,AG16)-ocdf(cut5,AG16))-(ocdf(cut6,AF16)-ocdf(cut5,AF16))))</f>
      </c>
      <c r="AN16" s="1">
        <f>IF(AN14="","",IF(AO14="",ocdf(cut6,AF16)-ocdf(cut6,AG16),(ocdf(cut7,AG16)-ocdf(cut6,AG16))-(ocdf(cut7,AF16)-ocdf(cut6,AF16))))</f>
      </c>
      <c r="AO16" s="1">
        <f>IF(AO14="","",IF(AP14="",ocdf(cut7,AF16)-ocdf(cut7,AG16),(ocdf(cut8,AG16)-ocdf(cut7,AG16))-(ocdf(cut8,AF16)-ocdf(cut7,AF16))))</f>
      </c>
      <c r="AP16" s="1">
        <f>IF(AP14="","",IF(AQ14="",ocdf(cut8,AF16)-ocdf(cut8,AG16),(ocdf(cut9,AG16)-ocdf(cut8,AG16))-(ocdf(cut9,AF16)-ocdf(cut8,AF16))))</f>
      </c>
      <c r="AQ16" s="1">
        <f>IF(AQ14="","",IF(AR14="",ocdf(cut9,AF16)-ocdf(cut9,AG16),(ocdf(cut10,AG16)-ocdf(cut9,AG16))-(ocdf(cut10,AF16)-ocdf(cut9,AF16))))</f>
      </c>
      <c r="AR16" s="1">
        <f>IF(b="","",Sbase+b*(mn-0.5*sd-Bval))</f>
        <v>-0.5397699999999996</v>
      </c>
      <c r="AS16" s="1">
        <f>IF(b="","",Sbase+b*(mn+0.5*sd-Bval))</f>
        <v>-0.28300999999999965</v>
      </c>
      <c r="AT16" s="1">
        <f>+ocdf(Cut1,AS16)-ocdf(Cut1,AR16)</f>
        <v>-0.025899995950054933</v>
      </c>
      <c r="AU16" s="1">
        <f>IF(AU14="","",IF(AV14="",ocdf(Cut1,AR16)-ocdf(Cut1,AS16),(ocdf(cut2,AS16)-ocdf(Cut1,AS16))-(ocdf(cut2,AR16)-ocdf(Cut1,AR16))))</f>
        <v>-0.037438384073844144</v>
      </c>
      <c r="AV16" s="1">
        <f>IF(AV14="","",IF(AW14="",ocdf(cut2,AR16)-ocdf(cut2,AS16),(ocdf(cut3,AS16)-ocdf(cut2,AS16))-(ocdf(cut3,AR16)-ocdf(cut2,AR16))))</f>
        <v>0.02916597245970204</v>
      </c>
      <c r="AW16" s="1">
        <f>IF(AW14="","",IF(AX14="",ocdf(cut3,AR16)-ocdf(cut3,AS16),(ocdf(cut4,AS16)-ocdf(cut3,AS16))-(ocdf(cut4,AR16)-ocdf(cut3,AR16))))</f>
        <v>0.03417240756419704</v>
      </c>
      <c r="AX16" s="1">
        <f>IF(AX14="","",IF(AY14="",ocdf(cut4,AR16)-ocdf(cut4,AS16),(ocdf(cut5,AS16)-ocdf(cut4,AS16))-(ocdf(cut5,AR16)-ocdf(cut4,AR16))))</f>
      </c>
      <c r="AY16" s="1">
        <f>IF(AY14="","",IF(AZ14="",ocdf(cut5,AR16)-ocdf(cut5,AS16),(ocdf(cut6,AS16)-ocdf(cut5,AS16))-(ocdf(cut6,AR16)-ocdf(cut5,AR16))))</f>
      </c>
      <c r="AZ16" s="1">
        <f>IF(AZ14="","",IF(BA14="",ocdf(cut6,AR16)-ocdf(cut6,AS16),(ocdf(cut7,AS16)-ocdf(cut6,AS16))-(ocdf(cut7,AR16)-ocdf(cut6,AR16))))</f>
      </c>
      <c r="BA16" s="1">
        <f>IF(BA14="","",IF(BB14="",ocdf(cut7,AR16)-ocdf(cut7,AS16),(ocdf(cut8,AS16)-ocdf(cut7,AS16))-(ocdf(cut8,AR16)-ocdf(cut7,AR16))))</f>
      </c>
      <c r="BB16" s="1">
        <f>IF(BB14="","",IF(BC14="",ocdf(cut8,AR16)-ocdf(cut8,AS16),(ocdf(cut9,AS16)-ocdf(cut8,AS16))-(ocdf(cut9,AR16)-ocdf(cut8,AR16))))</f>
      </c>
      <c r="BC16" s="1">
        <f>IF(BC14="","",IF(BD14="",ocdf(cut9,AR16)-ocdf(cut9,AS16),(ocdf(cut10,AS16)-ocdf(cut9,AS16))-(ocdf(cut10,AR16)-ocdf(cut9,AR16))))</f>
      </c>
    </row>
    <row r="17" spans="2:55" ht="11.25">
      <c r="B17" s="13" t="s">
        <v>78</v>
      </c>
      <c r="C17" s="13">
        <f>SUMPRODUCT(b,mn)</f>
        <v>-0.41138999999999964</v>
      </c>
      <c r="E17" s="13">
        <f>IF(OR(VtoP="",E16&gt;=EndV),"",E16+Dis)</f>
        <v>16.666666666666668</v>
      </c>
      <c r="F17" s="1">
        <f t="shared" si="0"/>
        <v>0.21062333333333355</v>
      </c>
      <c r="H17" s="1">
        <f aca="true" t="shared" si="1" ref="H17:H65">IF(b="","",+Sbase-b*Bval)</f>
        <v>-0.06687999999999966</v>
      </c>
      <c r="I17" s="1">
        <f aca="true" t="shared" si="2" ref="I17:I65">IF(b="","",Sbase+b*(1-Bval))</f>
        <v>-0.7998799999999997</v>
      </c>
      <c r="J17" s="1">
        <f>IF(H17="","",ocdf(Cut1,I17)-ocdf(Cut1,H17))</f>
        <v>0.07575972628758974</v>
      </c>
      <c r="K17" s="1">
        <f>IF(H17="","",IF(K$14="","",IF(L$14="",ocdf(Cut1,H17)-ocdf(Cut1,I17),(ocdf(cut2,I17)-ocdf(Cut1,I17))-(ocdf(cut2,H17)-ocdf(Cut1,H17)))))</f>
        <v>0.10376550642370208</v>
      </c>
      <c r="L17" s="1">
        <f>IF(H17="","",IF(L$14="","",IF(M$14="",ocdf(cut2,H17)-ocdf(cut2,I17),(ocdf(cut3,I17)-ocdf(cut2,I17))-(ocdf(cut3,H17)-ocdf(cut2,H17)))))</f>
        <v>-0.08303801221157342</v>
      </c>
      <c r="M17" s="1">
        <f>IF(H17="","",IF(M$14="","",IF(N$14="",ocdf(cut3,H17)-ocdf(cut3,I17),(ocdf(cut4,I17)-ocdf(cut3,I17))-(ocdf(cut4,H17)-ocdf(cut3,H17)))))</f>
        <v>-0.09648722049971836</v>
      </c>
      <c r="N17" s="1">
        <f>IF(H17="","",IF(N$14="","",IF(O$14="",ocdf(cut4,H17)-ocdf(cut4,I17),(ocdf(cut5,I17)-ocdf(cut4,I17))-(ocdf(cut5,H17)-ocdf(cut4,H17)))))</f>
      </c>
      <c r="O17" s="1">
        <f>IF(H17="","",IF(O$14="","",IF(P$14="",ocdf(cut5,H17)-ocdf(cut5,I17),(ocdf(cut6,I17)-ocdf(cut5,I17))-(ocdf(cut6,H17)-ocdf(cut5,H17)))))</f>
      </c>
      <c r="P17" s="1">
        <f>IF(H17="","",IF(P$14="","",IF(Q$14="",ocdf(cut6,H17)-ocdf(cut6,I17),(ocdf(cut7,I17)-ocdf(cut6,I17))-(ocdf(cut7,H17)-ocdf(cut6,H17)))))</f>
      </c>
      <c r="Q17" s="1">
        <f>IF(H17="","",IF(Q$14="","",IF(R$14="",ocdf(cut7,H17)-ocdf(cut7,I17),(ocdf(cut8,I17)-ocdf(cut7,I17))-(ocdf(cut8,H17)-ocdf(cut7,H17)))))</f>
      </c>
      <c r="R17" s="1">
        <f>IF(H17="","",IF(R$14="","",IF(S$14="",ocdf(cut8,H17)-ocdf(cut8,I17),(ocdf(cut9,I17)-ocdf(cut8,I17))-(ocdf(cut9,H17)-ocdf(cut8,H17)))))</f>
      </c>
      <c r="S17" s="1">
        <f>IF(H17="","",IF(S$14="","",ocdf(cut9,H17)-ocdf(cut9,I17)))</f>
      </c>
      <c r="T17" s="1">
        <f aca="true" t="shared" si="3" ref="T17:T65">IF(b="","",Sbase+b*(min-Bval))</f>
        <v>-0.06687999999999966</v>
      </c>
      <c r="U17" s="1">
        <f aca="true" t="shared" si="4" ref="U17:U65">IF(b="","",Sbase+b*(max-Bval))</f>
        <v>-0.7998799999999997</v>
      </c>
      <c r="V17" s="1">
        <f>IF(T17="","",ocdf(Cut1,U17)-ocdf(Cut1,T17))</f>
        <v>0.07575972628758974</v>
      </c>
      <c r="W17" s="1">
        <f>IF(T17="","",IF(W$14="","",IF(X$14="",ocdf(Cut1,T17)-ocdf(Cut1,U17),(ocdf(cut2,U17)-ocdf(Cut1,U17))-(ocdf(cut2,T17)-ocdf(Cut1,T17)))))</f>
        <v>0.10376550642370208</v>
      </c>
      <c r="X17" s="1">
        <f>IF(T17="","",IF(X$14="","",IF(Y$14="",ocdf(cut2,T17)-ocdf(cut2,U17),(ocdf(cut3,U17)-ocdf(cut2,U17))-(ocdf(cut3,T17)-ocdf(cut2,T17)))))</f>
        <v>-0.08303801221157342</v>
      </c>
      <c r="Y17" s="1">
        <f>IF(T17="","",IF(Y$14="","",IF(Z$14="",ocdf(cut3,T17)-ocdf(cut3,U17),(ocdf(cut4,U17)-ocdf(cut3,U17))-(ocdf(cut4,T17)-ocdf(cut3,T17)))))</f>
        <v>-0.09648722049971836</v>
      </c>
      <c r="Z17" s="1">
        <f>IF(T17="","",IF(Z$14="","",IF(AA$14="",ocdf(cut4,T17)-ocdf(cut4,U17),(ocdf(cut5,U17)-ocdf(cut4,U17))-(ocdf(cut5,T17)-ocdf(cut4,T17)))))</f>
      </c>
      <c r="AA17" s="1">
        <f>IF(T17="","",IF(AA$14="","",IF(AB$14="",ocdf(cut5,T17)-ocdf(cut5,U17),(ocdf(cut6,U17)-ocdf(cut5,U17))-(ocdf(cut6,T17)-ocdf(cut5,T17)))))</f>
      </c>
      <c r="AB17" s="1">
        <f>IF(T17="","",IF(AB$14="","",IF(AC$14="",ocdf(cut6,T17)-ocdf(cut6,U17),(ocdf(cut7,U17)-ocdf(cut6,U17))-(ocdf(cut7,T17)-ocdf(cut6,T17)))))</f>
      </c>
      <c r="AC17" s="1">
        <f>IF(T17="","",IF(AC$14="","",IF(AD$14="",ocdf(cut7,T17)-ocdf(cut7,U17),(ocdf(cut8,U17)-ocdf(cut7,U17))-(ocdf(cut8,T17)-ocdf(cut7,T17)))))</f>
      </c>
      <c r="AD17" s="1">
        <f>IF(T17="","",IF(AD$14="","",IF(AE$14="",ocdf(cut8,T17)-ocdf(cut8,U17),(ocdf(cut9,U17)-ocdf(cut8,U17))-(ocdf(cut9,T17)-ocdf(cut8,T17)))))</f>
      </c>
      <c r="AE17" s="1">
        <f>IF(T17="","",IF(AE$14="","",ocdf(cut9,T17)-ocdf(cut9,U17)))</f>
      </c>
      <c r="AF17" s="1">
        <f aca="true" t="shared" si="5" ref="AF17:AF65">IF(b="","",Sbase+b*(mn-0.5-Bval))</f>
        <v>-0.04488999999999965</v>
      </c>
      <c r="AG17" s="1">
        <f aca="true" t="shared" si="6" ref="AG17:AG65">IF(b="","",Sbase+b*(mn+0.5-Bval))</f>
        <v>-0.7778899999999996</v>
      </c>
      <c r="AH17" s="1">
        <f>IF(AF17="","",ocdf(Cut1,AG17)-ocdf(Cut1,AF17))</f>
        <v>0.07450427470137941</v>
      </c>
      <c r="AI17" s="1">
        <f>IF(AF17="","",IF(AI$14="","",IF(AJ$14="",ocdf(Cut1,AF17)-ocdf(Cut1,AG17),(ocdf(cut2,AG17)-ocdf(Cut1,AG17))-(ocdf(cut2,AF17)-ocdf(Cut1,AF17)))))</f>
        <v>0.10462444049188091</v>
      </c>
      <c r="AJ17" s="1">
        <f>IF(AF17="","",IF(AJ$14="","",IF(AK$14="",ocdf(cut2,AF17)-ocdf(cut2,AG17),(ocdf(cut3,AG17)-ocdf(cut2,AG17))-(ocdf(cut3,AF17)-ocdf(cut2,AF17)))))</f>
        <v>-0.08119892362222086</v>
      </c>
      <c r="AK17" s="1">
        <f>IF(AF17="","",IF(AK$14="","",IF(AL$14="",ocdf(cut3,AF17)-ocdf(cut3,AG17),(ocdf(cut4,AG17)-ocdf(cut3,AG17))-(ocdf(cut4,AF17)-ocdf(cut3,AF17)))))</f>
        <v>-0.09792979157103943</v>
      </c>
      <c r="AL17" s="1">
        <f>IF(AF17="","",IF(AL$14="","",IF(AM$14="",ocdf(cut4,AF17)-ocdf(cut4,AG17),(ocdf(cut5,AG17)-ocdf(cut4,AG17))-(ocdf(cut5,AF17)-ocdf(cut4,AF17)))))</f>
      </c>
      <c r="AM17" s="1">
        <f>IF(AF17="","",IF(AM$14="","",IF(AN$14="",ocdf(cut5,AF17)-ocdf(cut5,AG17),(ocdf(cut6,AG17)-ocdf(cut5,AG17))-(ocdf(cut6,AF17)-ocdf(cut5,AF17)))))</f>
      </c>
      <c r="AN17" s="1">
        <f>IF(AF17="","",IF(AN$14="","",IF(AO$14="",ocdf(cut6,AF17)-ocdf(cut6,AG17),(ocdf(cut7,AG17)-ocdf(cut6,AG17))-(ocdf(cut7,AF17)-ocdf(cut6,AF17)))))</f>
      </c>
      <c r="AO17" s="1">
        <f>IF(AF17="","",IF(AO$14="","",IF(AP$14="",ocdf(cut7,AF17)-ocdf(cut7,AG17),(ocdf(cut8,AG17)-ocdf(cut7,AG17))-(ocdf(cut8,AF17)-ocdf(cut7,AF17)))))</f>
      </c>
      <c r="AP17" s="1">
        <f>IF(AF17="","",IF(AP$14="","",IF(AQ$14="",ocdf(cut8,AF17)-ocdf(cut8,AG17),(ocdf(cut9,AG17)-ocdf(cut8,AG17))-(ocdf(cut9,AF17)-ocdf(cut8,AF17)))))</f>
      </c>
      <c r="AQ17" s="1">
        <f>IF(AF17="","",IF(AQ$14="","",ocdf(cut9,AF17)-ocdf(cut9,AG17)))</f>
      </c>
      <c r="AR17" s="1">
        <f aca="true" t="shared" si="7" ref="AR17:AR65">IF(b="","",Sbase+b*(mn-0.5*sd-Bval))</f>
        <v>-0.22813999999999965</v>
      </c>
      <c r="AS17" s="1">
        <f aca="true" t="shared" si="8" ref="AS17:AS65">IF(b="","",Sbase+b*(mn+0.5*sd-Bval))</f>
        <v>-0.5946399999999996</v>
      </c>
      <c r="AT17" s="1">
        <f>IF(AR17="","",ocdf(Cut1,AS17)-ocdf(Cut1,AR17))</f>
        <v>0.03701113644101632</v>
      </c>
      <c r="AU17" s="1">
        <f>IF(AR17="","",IF(AU$14="","",IF(AV$14="",ocdf(Cut1,AR17)-ocdf(Cut1,AS17),(ocdf(cut2,AS17)-ocdf(Cut1,AS17))-(ocdf(cut2,AR17)-ocdf(Cut1,AR17)))))</f>
        <v>0.05327447636643623</v>
      </c>
      <c r="AV17" s="1">
        <f>IF(AR17="","",IF(AV$14="","",IF(AW$14="",ocdf(cut2,AR17)-ocdf(cut2,AS17),(ocdf(cut3,AS17)-ocdf(cut2,AS17))-(ocdf(cut3,AR17)-ocdf(cut2,AR17)))))</f>
        <v>-0.04148006590697573</v>
      </c>
      <c r="AW17" s="1">
        <f>IF(AR17="","",IF(AW$14="","",IF(AX$14="",ocdf(cut3,AR17)-ocdf(cut3,AS17),(ocdf(cut4,AS17)-ocdf(cut3,AS17))-(ocdf(cut4,AR17)-ocdf(cut3,AR17)))))</f>
        <v>-0.04880554690047678</v>
      </c>
      <c r="AX17" s="1">
        <f>IF(AR17="","",IF(AX$14="","",IF(AY$14="",ocdf(cut4,AR17)-ocdf(cut4,AS17),(ocdf(cut5,AS17)-ocdf(cut4,AS17))-(ocdf(cut5,AR17)-ocdf(cut4,AR17)))))</f>
      </c>
      <c r="AY17" s="1">
        <f>IF(AR17="","",IF(AY$14="","",IF(AZ$14="",ocdf(cut5,AR17)-ocdf(cut5,AS17),(ocdf(cut6,AS17)-ocdf(cut5,AS17))-(ocdf(cut6,AR17)-ocdf(cut5,AR17)))))</f>
      </c>
      <c r="AZ17" s="1">
        <f>IF(AR17="","",IF(AZ$14="","",IF(BA$14="",ocdf(cut6,AR17)-ocdf(cut6,AS17),(ocdf(cut7,AS17)-ocdf(cut6,AS17))-(ocdf(cut7,AR17)-ocdf(cut6,AR17)))))</f>
      </c>
      <c r="BA17" s="1">
        <f>IF(AR17="","",IF(BA$14="","",IF(BB$14="",ocdf(cut7,AR17)-ocdf(cut7,AS17),(ocdf(cut8,AS17)-ocdf(cut7,AS17))-(ocdf(cut8,AR17)-ocdf(cut7,AR17)))))</f>
      </c>
      <c r="BB17" s="1">
        <f>IF(AR17="","",IF(BB$14="","",IF(BC$14="",ocdf(cut8,AR17)-ocdf(cut8,AS17),(ocdf(cut9,AS17)-ocdf(cut8,AS17))-(ocdf(cut9,AR17)-ocdf(cut8,AR17)))))</f>
      </c>
      <c r="BC17" s="1">
        <f>IF(AR17="","",IF(BC$14="","",ocdf(cut9,AR17)-ocdf(cut9,AS17)))</f>
      </c>
    </row>
    <row r="18" spans="2:55" ht="11.25">
      <c r="B18" s="13" t="s">
        <v>79</v>
      </c>
      <c r="C18" s="13">
        <f>SUMPRODUCT(b,min)</f>
        <v>-0.32399999999999995</v>
      </c>
      <c r="E18" s="1">
        <f aca="true" t="shared" si="9" ref="E18:E35">IF(OR(VtoP="",E17&gt;=EndV),"",E17+Dis)</f>
        <v>23.333333333333336</v>
      </c>
      <c r="F18" s="1">
        <f t="shared" si="0"/>
        <v>0.06395666666666688</v>
      </c>
      <c r="H18" s="1">
        <f t="shared" si="1"/>
        <v>-0.06730999999999965</v>
      </c>
      <c r="I18" s="1">
        <f t="shared" si="2"/>
        <v>-0.45830999999999966</v>
      </c>
      <c r="J18" s="1">
        <f>IF(H18="","",ocdf(Cut1,I18)-ocdf(Cut1,H18))</f>
        <v>0.03515328716452984</v>
      </c>
      <c r="K18" s="1">
        <f>IF(H18="","",IF(K$14="","",IF(L$14="",ocdf(Cut1,H18)-ocdf(Cut1,I18),(ocdf(cut2,I18)-ocdf(Cut1,I18))-(ocdf(cut2,H18)-ocdf(Cut1,H18)))))</f>
        <v>0.059087088541754984</v>
      </c>
      <c r="L18" s="1">
        <f>IF(H18="","",IF(L$14="","",IF(M$14="",ocdf(cut2,H18)-ocdf(cut2,I18),(ocdf(cut3,I18)-ocdf(cut2,I18))-(ocdf(cut3,H18)-ocdf(cut2,H18)))))</f>
        <v>-0.036798091506990094</v>
      </c>
      <c r="M18" s="1">
        <f>IF(H18="","",IF(M$14="","",IF(N$14="",ocdf(cut3,H18)-ocdf(cut3,I18),(ocdf(cut4,I18)-ocdf(cut3,I18))-(ocdf(cut4,H18)-ocdf(cut3,H18)))))</f>
        <v>-0.05744228419929476</v>
      </c>
      <c r="N18" s="1">
        <f>IF(H18="","",IF(N$14="","",IF(O$14="",ocdf(cut4,H18)-ocdf(cut4,I18),(ocdf(cut5,I18)-ocdf(cut4,I18))-(ocdf(cut5,H18)-ocdf(cut4,H18)))))</f>
      </c>
      <c r="O18" s="1">
        <f>IF(H18="","",IF(O$14="","",IF(P$14="",ocdf(cut5,H18)-ocdf(cut5,I18),(ocdf(cut6,I18)-ocdf(cut5,I18))-(ocdf(cut6,H18)-ocdf(cut5,H18)))))</f>
      </c>
      <c r="P18" s="1">
        <f>IF(H18="","",IF(P$14="","",IF(Q$14="",ocdf(cut6,H18)-ocdf(cut6,I18),(ocdf(cut7,I18)-ocdf(cut6,I18))-(ocdf(cut7,H18)-ocdf(cut6,H18)))))</f>
      </c>
      <c r="Q18" s="1">
        <f>IF(H18="","",IF(Q$14="","",IF(R$14="",ocdf(cut7,H18)-ocdf(cut7,I18),(ocdf(cut8,I18)-ocdf(cut7,I18))-(ocdf(cut8,H18)-ocdf(cut7,H18)))))</f>
      </c>
      <c r="R18" s="1">
        <f>IF(H18="","",IF(R$14="","",IF(S$14="",ocdf(cut8,H18)-ocdf(cut8,I18),(ocdf(cut9,I18)-ocdf(cut8,I18))-(ocdf(cut9,H18)-ocdf(cut8,H18)))))</f>
      </c>
      <c r="S18" s="1">
        <f>IF(H18="","",IF(S$14="","",ocdf(cut9,H18)-ocdf(cut9,I18)))</f>
      </c>
      <c r="T18" s="1">
        <f t="shared" si="3"/>
        <v>-0.06730999999999965</v>
      </c>
      <c r="U18" s="1">
        <f t="shared" si="4"/>
        <v>-0.45830999999999966</v>
      </c>
      <c r="V18" s="1">
        <f aca="true" t="shared" si="10" ref="V18:V65">IF(T18="","",ocdf(Cut1,U18)-ocdf(Cut1,T18))</f>
        <v>0.03515328716452984</v>
      </c>
      <c r="W18" s="1">
        <f aca="true" t="shared" si="11" ref="W18:W65">IF(T18="","",IF(W$14="","",IF(X$14="",ocdf(Cut1,T18)-ocdf(Cut1,U18),(ocdf(cut2,U18)-ocdf(Cut1,U18))-(ocdf(cut2,T18)-ocdf(Cut1,T18)))))</f>
        <v>0.059087088541754984</v>
      </c>
      <c r="X18" s="1">
        <f aca="true" t="shared" si="12" ref="X18:X65">IF(T18="","",IF(X$14="","",IF(Y$14="",ocdf(cut2,T18)-ocdf(cut2,U18),(ocdf(cut3,U18)-ocdf(cut2,U18))-(ocdf(cut3,T18)-ocdf(cut2,T18)))))</f>
        <v>-0.036798091506990094</v>
      </c>
      <c r="Y18" s="1">
        <f aca="true" t="shared" si="13" ref="Y18:Y65">IF(T18="","",IF(Y$14="","",IF(Z$14="",ocdf(cut3,T18)-ocdf(cut3,U18),(ocdf(cut4,U18)-ocdf(cut3,U18))-(ocdf(cut4,T18)-ocdf(cut3,T18)))))</f>
        <v>-0.05744228419929476</v>
      </c>
      <c r="Z18" s="1">
        <f aca="true" t="shared" si="14" ref="Z18:Z65">IF(T18="","",IF(Z$14="","",IF(AA$14="",ocdf(cut4,T18)-ocdf(cut4,U18),(ocdf(cut5,U18)-ocdf(cut4,U18))-(ocdf(cut5,T18)-ocdf(cut4,T18)))))</f>
      </c>
      <c r="AA18" s="1">
        <f aca="true" t="shared" si="15" ref="AA18:AA65">IF(T18="","",IF(AA$14="","",IF(AB$14="",ocdf(cut5,T18)-ocdf(cut5,U18),(ocdf(cut6,U18)-ocdf(cut5,U18))-(ocdf(cut6,T18)-ocdf(cut5,T18)))))</f>
      </c>
      <c r="AB18" s="1">
        <f aca="true" t="shared" si="16" ref="AB18:AB65">IF(T18="","",IF(AB$14="","",IF(AC$14="",ocdf(cut6,T18)-ocdf(cut6,U18),(ocdf(cut7,U18)-ocdf(cut6,U18))-(ocdf(cut7,T18)-ocdf(cut6,T18)))))</f>
      </c>
      <c r="AC18" s="1">
        <f aca="true" t="shared" si="17" ref="AC18:AC65">IF(T18="","",IF(AC$14="","",IF(AD$14="",ocdf(cut7,T18)-ocdf(cut7,U18),(ocdf(cut8,U18)-ocdf(cut7,U18))-(ocdf(cut8,T18)-ocdf(cut7,T18)))))</f>
      </c>
      <c r="AD18" s="1">
        <f aca="true" t="shared" si="18" ref="AD18:AD65">IF(T18="","",IF(AD$14="","",IF(AE$14="",ocdf(cut8,T18)-ocdf(cut8,U18),(ocdf(cut9,U18)-ocdf(cut8,U18))-(ocdf(cut9,T18)-ocdf(cut8,T18)))))</f>
      </c>
      <c r="AE18" s="1">
        <f aca="true" t="shared" si="19" ref="AE18:AE65">IF(T18="","",IF(AE$14="","",ocdf(cut9,T18)-ocdf(cut9,U18)))</f>
      </c>
      <c r="AF18" s="1">
        <f t="shared" si="5"/>
        <v>-0.21588999999999964</v>
      </c>
      <c r="AG18" s="1">
        <f t="shared" si="6"/>
        <v>-0.6068899999999996</v>
      </c>
      <c r="AH18" s="1">
        <f aca="true" t="shared" si="20" ref="AH18:AH65">IF(AF18="","",ocdf(Cut1,AG18)-ocdf(Cut1,AF18))</f>
        <v>0.03949723684735758</v>
      </c>
      <c r="AI18" s="1">
        <f aca="true" t="shared" si="21" ref="AI18:AI65">IF(AF18="","",IF(AI$14="","",IF(AJ$14="",ocdf(Cut1,AF18)-ocdf(Cut1,AG18),(ocdf(cut2,AG18)-ocdf(Cut1,AG18))-(ocdf(cut2,AF18)-ocdf(Cut1,AF18)))))</f>
        <v>0.056788080835171284</v>
      </c>
      <c r="AJ18" s="1">
        <f aca="true" t="shared" si="22" ref="AJ18:AJ65">IF(AF18="","",IF(AJ$14="","",IF(AK$14="",ocdf(cut2,AF18)-ocdf(cut2,AG18),(ocdf(cut3,AG18)-ocdf(cut2,AG18))-(ocdf(cut3,AF18)-ocdf(cut2,AF18)))))</f>
        <v>-0.04420919482829111</v>
      </c>
      <c r="AK18" s="1">
        <f aca="true" t="shared" si="23" ref="AK18:AK65">IF(AF18="","",IF(AK$14="","",IF(AL$14="",ocdf(cut3,AF18)-ocdf(cut3,AG18),(ocdf(cut4,AG18)-ocdf(cut3,AG18))-(ocdf(cut4,AF18)-ocdf(cut3,AF18)))))</f>
        <v>-0.052076122854237794</v>
      </c>
      <c r="AL18" s="1">
        <f aca="true" t="shared" si="24" ref="AL18:AL65">IF(AF18="","",IF(AL$14="","",IF(AM$14="",ocdf(cut4,AF18)-ocdf(cut4,AG18),(ocdf(cut5,AG18)-ocdf(cut4,AG18))-(ocdf(cut5,AF18)-ocdf(cut4,AF18)))))</f>
      </c>
      <c r="AM18" s="1">
        <f aca="true" t="shared" si="25" ref="AM18:AM65">IF(AF18="","",IF(AM$14="","",IF(AN$14="",ocdf(cut5,AF18)-ocdf(cut5,AG18),(ocdf(cut6,AG18)-ocdf(cut5,AG18))-(ocdf(cut6,AF18)-ocdf(cut5,AF18)))))</f>
      </c>
      <c r="AN18" s="1">
        <f aca="true" t="shared" si="26" ref="AN18:AN65">IF(AF18="","",IF(AN$14="","",IF(AO$14="",ocdf(cut6,AF18)-ocdf(cut6,AG18),(ocdf(cut7,AG18)-ocdf(cut6,AG18))-(ocdf(cut7,AF18)-ocdf(cut6,AF18)))))</f>
      </c>
      <c r="AO18" s="1">
        <f aca="true" t="shared" si="27" ref="AO18:AO65">IF(AF18="","",IF(AO$14="","",IF(AP$14="",ocdf(cut7,AF18)-ocdf(cut7,AG18),(ocdf(cut8,AG18)-ocdf(cut7,AG18))-(ocdf(cut8,AF18)-ocdf(cut7,AF18)))))</f>
      </c>
      <c r="AP18" s="1">
        <f aca="true" t="shared" si="28" ref="AP18:AP65">IF(AF18="","",IF(AP$14="","",IF(AQ$14="",ocdf(cut8,AF18)-ocdf(cut8,AG18),(ocdf(cut9,AG18)-ocdf(cut8,AG18))-(ocdf(cut9,AF18)-ocdf(cut8,AF18)))))</f>
      </c>
      <c r="AQ18" s="1">
        <f aca="true" t="shared" si="29" ref="AQ18:AQ65">IF(AF18="","",IF(AQ$14="","",ocdf(cut9,AF18)-ocdf(cut9,AG18)))</f>
      </c>
      <c r="AR18" s="1">
        <f t="shared" si="7"/>
        <v>-0.3468749999999996</v>
      </c>
      <c r="AS18" s="1">
        <f t="shared" si="8"/>
        <v>-0.47590499999999963</v>
      </c>
      <c r="AT18" s="1">
        <f aca="true" t="shared" si="30" ref="AT18:AT65">IF(AR18="","",ocdf(Cut1,AS18)-ocdf(Cut1,AR18))</f>
        <v>0.013005031546837353</v>
      </c>
      <c r="AU18" s="1">
        <f aca="true" t="shared" si="31" ref="AU18:AU65">IF(AR18="","",IF(AU$14="","",IF(AV$14="",ocdf(Cut1,AR18)-ocdf(Cut1,AS18),(ocdf(cut2,AS18)-ocdf(Cut1,AS18))-(ocdf(cut2,AR18)-ocdf(Cut1,AR18)))))</f>
        <v>0.0188559865886207</v>
      </c>
      <c r="AV18" s="1">
        <f aca="true" t="shared" si="32" ref="AV18:AV65">IF(AR18="","",IF(AV$14="","",IF(AW$14="",ocdf(cut2,AR18)-ocdf(cut2,AS18),(ocdf(cut3,AS18)-ocdf(cut2,AS18))-(ocdf(cut3,AR18)-ocdf(cut2,AR18)))))</f>
        <v>-0.0146953885260388</v>
      </c>
      <c r="AW18" s="1">
        <f aca="true" t="shared" si="33" ref="AW18:AW65">IF(AR18="","",IF(AW$14="","",IF(AX$14="",ocdf(cut3,AR18)-ocdf(cut3,AS18),(ocdf(cut4,AS18)-ocdf(cut3,AS18))-(ocdf(cut4,AR18)-ocdf(cut3,AR18)))))</f>
        <v>-0.017165629609419253</v>
      </c>
      <c r="AX18" s="1">
        <f aca="true" t="shared" si="34" ref="AX18:AX65">IF(AR18="","",IF(AX$14="","",IF(AY$14="",ocdf(cut4,AR18)-ocdf(cut4,AS18),(ocdf(cut5,AS18)-ocdf(cut4,AS18))-(ocdf(cut5,AR18)-ocdf(cut4,AR18)))))</f>
      </c>
      <c r="AY18" s="1">
        <f aca="true" t="shared" si="35" ref="AY18:AY65">IF(AR18="","",IF(AY$14="","",IF(AZ$14="",ocdf(cut5,AR18)-ocdf(cut5,AS18),(ocdf(cut6,AS18)-ocdf(cut5,AS18))-(ocdf(cut6,AR18)-ocdf(cut5,AR18)))))</f>
      </c>
      <c r="AZ18" s="1">
        <f aca="true" t="shared" si="36" ref="AZ18:AZ65">IF(AR18="","",IF(AZ$14="","",IF(BA$14="",ocdf(cut6,AR18)-ocdf(cut6,AS18),(ocdf(cut7,AS18)-ocdf(cut6,AS18))-(ocdf(cut7,AR18)-ocdf(cut6,AR18)))))</f>
      </c>
      <c r="BA18" s="1">
        <f aca="true" t="shared" si="37" ref="BA18:BA65">IF(AR18="","",IF(BA$14="","",IF(BB$14="",ocdf(cut7,AR18)-ocdf(cut7,AS18),(ocdf(cut8,AS18)-ocdf(cut7,AS18))-(ocdf(cut8,AR18)-ocdf(cut7,AR18)))))</f>
      </c>
      <c r="BB18" s="1">
        <f aca="true" t="shared" si="38" ref="BB18:BB65">IF(AR18="","",IF(BB$14="","",IF(BC$14="",ocdf(cut8,AR18)-ocdf(cut8,AS18),(ocdf(cut9,AS18)-ocdf(cut8,AS18))-(ocdf(cut9,AR18)-ocdf(cut8,AR18)))))</f>
      </c>
      <c r="BC18" s="1">
        <f aca="true" t="shared" si="39" ref="BC18:BC65">IF(AR18="","",IF(BC$14="","",ocdf(cut9,AR18)-ocdf(cut9,AS18)))</f>
      </c>
    </row>
    <row r="19" spans="2:55" ht="11.25">
      <c r="B19" s="13" t="s">
        <v>80</v>
      </c>
      <c r="C19" s="13">
        <f>SUMPRODUCT(b,max)</f>
        <v>-0.7259999999999998</v>
      </c>
      <c r="E19" s="1">
        <f t="shared" si="9"/>
        <v>30.000000000000004</v>
      </c>
      <c r="F19" s="1">
        <f t="shared" si="0"/>
        <v>-0.08270999999999978</v>
      </c>
      <c r="H19" s="1">
        <f t="shared" si="1"/>
        <v>0.5772900000000003</v>
      </c>
      <c r="I19" s="1">
        <f t="shared" si="2"/>
        <v>0.5552900000000003</v>
      </c>
      <c r="J19" s="1">
        <f>IF(H19="","",ocdf(Cut1,I19)-ocdf(Cut1,H19))</f>
        <v>0.0009661044720546547</v>
      </c>
      <c r="K19" s="1">
        <f>IF(H19="","",IF(K$14="","",IF(L$14="",ocdf(Cut1,H19)-ocdf(Cut1,I19),(ocdf(cut2,I19)-ocdf(Cut1,I19))-(ocdf(cut2,H19)-ocdf(Cut1,H19)))))</f>
        <v>0.0029532627818405766</v>
      </c>
      <c r="L19" s="1">
        <f>IF(H19="","",IF(L$14="","",IF(M$14="",ocdf(cut2,H19)-ocdf(cut2,I19),(ocdf(cut3,I19)-ocdf(cut2,I19))-(ocdf(cut3,H19)-ocdf(cut2,H19)))))</f>
        <v>0.0009653071207944008</v>
      </c>
      <c r="M19" s="1">
        <f>IF(H19="","",IF(M$14="","",IF(N$14="",ocdf(cut3,H19)-ocdf(cut3,I19),(ocdf(cut4,I19)-ocdf(cut3,I19))-(ocdf(cut4,H19)-ocdf(cut3,H19)))))</f>
        <v>-0.004884674374689646</v>
      </c>
      <c r="N19" s="1">
        <f>IF(H19="","",IF(N$14="","",IF(O$14="",ocdf(cut4,H19)-ocdf(cut4,I19),(ocdf(cut5,I19)-ocdf(cut4,I19))-(ocdf(cut5,H19)-ocdf(cut4,H19)))))</f>
      </c>
      <c r="O19" s="1">
        <f>IF(H19="","",IF(O$14="","",IF(P$14="",ocdf(cut5,H19)-ocdf(cut5,I19),(ocdf(cut6,I19)-ocdf(cut5,I19))-(ocdf(cut6,H19)-ocdf(cut5,H19)))))</f>
      </c>
      <c r="P19" s="1">
        <f>IF(H19="","",IF(P$14="","",IF(Q$14="",ocdf(cut6,H19)-ocdf(cut6,I19),(ocdf(cut7,I19)-ocdf(cut6,I19))-(ocdf(cut7,H19)-ocdf(cut6,H19)))))</f>
      </c>
      <c r="Q19" s="1">
        <f>IF(H19="","",IF(Q$14="","",IF(R$14="",ocdf(cut7,H19)-ocdf(cut7,I19),(ocdf(cut8,I19)-ocdf(cut7,I19))-(ocdf(cut8,H19)-ocdf(cut7,H19)))))</f>
      </c>
      <c r="R19" s="1">
        <f>IF(H19="","",IF(R$14="","",IF(S$14="",ocdf(cut8,H19)-ocdf(cut8,I19),(ocdf(cut9,I19)-ocdf(cut8,I19))-(ocdf(cut9,H19)-ocdf(cut8,H19)))))</f>
      </c>
      <c r="S19" s="1">
        <f>IF(H19="","",IF(S$14="","",ocdf(cut9,H19)-ocdf(cut9,I19)))</f>
      </c>
      <c r="T19" s="1">
        <f t="shared" si="3"/>
        <v>0.18129000000000023</v>
      </c>
      <c r="U19" s="1">
        <f t="shared" si="4"/>
        <v>-1.3807099999999997</v>
      </c>
      <c r="V19" s="1">
        <f t="shared" si="10"/>
        <v>0.18647699095696943</v>
      </c>
      <c r="W19" s="1">
        <f t="shared" si="11"/>
        <v>0.1852357900093564</v>
      </c>
      <c r="X19" s="1">
        <f t="shared" si="12"/>
        <v>-0.18478085051789744</v>
      </c>
      <c r="Y19" s="1">
        <f t="shared" si="13"/>
        <v>-0.18693193044842837</v>
      </c>
      <c r="Z19" s="1">
        <f t="shared" si="14"/>
      </c>
      <c r="AA19" s="1">
        <f t="shared" si="15"/>
      </c>
      <c r="AB19" s="1">
        <f t="shared" si="16"/>
      </c>
      <c r="AC19" s="1">
        <f t="shared" si="17"/>
      </c>
      <c r="AD19" s="1">
        <f t="shared" si="18"/>
      </c>
      <c r="AE19" s="1">
        <f t="shared" si="19"/>
      </c>
      <c r="AF19" s="1">
        <f t="shared" si="5"/>
        <v>-0.40038999999999964</v>
      </c>
      <c r="AG19" s="1">
        <f t="shared" si="6"/>
        <v>-0.42238999999999965</v>
      </c>
      <c r="AH19" s="1">
        <f t="shared" si="20"/>
        <v>0.002216806546591815</v>
      </c>
      <c r="AI19" s="1">
        <f t="shared" si="21"/>
        <v>0.0032173557869888403</v>
      </c>
      <c r="AJ19" s="1">
        <f t="shared" si="22"/>
        <v>-0.002507768838894975</v>
      </c>
      <c r="AK19" s="1">
        <f t="shared" si="23"/>
        <v>-0.0029263934946857084</v>
      </c>
      <c r="AL19" s="1">
        <f t="shared" si="24"/>
      </c>
      <c r="AM19" s="1">
        <f t="shared" si="25"/>
      </c>
      <c r="AN19" s="1">
        <f t="shared" si="26"/>
      </c>
      <c r="AO19" s="1">
        <f t="shared" si="27"/>
      </c>
      <c r="AP19" s="1">
        <f t="shared" si="28"/>
      </c>
      <c r="AQ19" s="1">
        <f t="shared" si="29"/>
      </c>
      <c r="AR19" s="1">
        <f t="shared" si="7"/>
        <v>-0.22680999999999965</v>
      </c>
      <c r="AS19" s="1">
        <f t="shared" si="8"/>
        <v>-0.5959699999999997</v>
      </c>
      <c r="AT19" s="1">
        <f t="shared" si="30"/>
        <v>0.037280948551182705</v>
      </c>
      <c r="AU19" s="1">
        <f t="shared" si="31"/>
        <v>0.05365638193587391</v>
      </c>
      <c r="AV19" s="1">
        <f t="shared" si="32"/>
        <v>-0.04177676388142443</v>
      </c>
      <c r="AW19" s="1">
        <f t="shared" si="33"/>
        <v>-0.04916056660563217</v>
      </c>
      <c r="AX19" s="1">
        <f t="shared" si="34"/>
      </c>
      <c r="AY19" s="1">
        <f t="shared" si="35"/>
      </c>
      <c r="AZ19" s="1">
        <f t="shared" si="36"/>
      </c>
      <c r="BA19" s="1">
        <f t="shared" si="37"/>
      </c>
      <c r="BB19" s="1">
        <f t="shared" si="38"/>
      </c>
      <c r="BC19" s="1">
        <f t="shared" si="39"/>
      </c>
    </row>
    <row r="20" spans="5:55" ht="11.25">
      <c r="E20" s="1">
        <f t="shared" si="9"/>
        <v>36.66666666666667</v>
      </c>
      <c r="F20" s="1">
        <f t="shared" si="0"/>
        <v>-0.22937666666666648</v>
      </c>
      <c r="H20" s="1">
        <f t="shared" si="1"/>
        <v>-1.2301299999999997</v>
      </c>
      <c r="I20" s="1">
        <f t="shared" si="2"/>
        <v>-1.1631299999999998</v>
      </c>
      <c r="J20" s="1">
        <f aca="true" t="shared" si="40" ref="J20:J65">IF(H20="","",ocdf(Cut1,I20)-ocdf(Cut1,H20))</f>
        <v>-0.011479731378117364</v>
      </c>
      <c r="K20" s="1">
        <f aca="true" t="shared" si="41" ref="K20:K65">IF(H20="","",IF(K$14="","",IF(L$14="",ocdf(Cut1,H20)-ocdf(Cut1,I20),(ocdf(cut2,I20)-ocdf(Cut1,I20))-(ocdf(cut2,H20)-ocdf(Cut1,H20)))))</f>
        <v>-0.00399774385787649</v>
      </c>
      <c r="L20" s="1">
        <f aca="true" t="shared" si="42" ref="L20:L65">IF(H20="","",IF(L$14="","",IF(M$14="",ocdf(cut2,H20)-ocdf(cut2,I20),(ocdf(cut3,I20)-ocdf(cut2,I20))-(ocdf(cut3,H20)-ocdf(cut2,H20)))))</f>
        <v>0.010612844517228104</v>
      </c>
      <c r="M20" s="1">
        <f aca="true" t="shared" si="43" ref="M20:M65">IF(H20="","",IF(M$14="","",IF(N$14="",ocdf(cut3,H20)-ocdf(cut3,I20),(ocdf(cut4,I20)-ocdf(cut3,I20))-(ocdf(cut4,H20)-ocdf(cut3,H20)))))</f>
        <v>0.00486463071876575</v>
      </c>
      <c r="N20" s="1">
        <f aca="true" t="shared" si="44" ref="N20:N65">IF(H20="","",IF(N$14="","",IF(O$14="",ocdf(cut4,H20)-ocdf(cut4,I20),(ocdf(cut5,I20)-ocdf(cut4,I20))-(ocdf(cut5,H20)-ocdf(cut4,H20)))))</f>
      </c>
      <c r="O20" s="1">
        <f aca="true" t="shared" si="45" ref="O20:O65">IF(H20="","",IF(O$14="","",IF(P$14="",ocdf(cut5,H20)-ocdf(cut5,I20),(ocdf(cut6,I20)-ocdf(cut5,I20))-(ocdf(cut6,H20)-ocdf(cut5,H20)))))</f>
      </c>
      <c r="P20" s="1">
        <f aca="true" t="shared" si="46" ref="P20:P65">IF(H20="","",IF(P$14="","",IF(Q$14="",ocdf(cut6,H20)-ocdf(cut6,I20),(ocdf(cut7,I20)-ocdf(cut6,I20))-(ocdf(cut7,H20)-ocdf(cut6,H20)))))</f>
      </c>
      <c r="Q20" s="1">
        <f aca="true" t="shared" si="47" ref="Q20:Q65">IF(H20="","",IF(Q$14="","",IF(R$14="",ocdf(cut7,H20)-ocdf(cut7,I20),(ocdf(cut8,I20)-ocdf(cut7,I20))-(ocdf(cut8,H20)-ocdf(cut7,H20)))))</f>
      </c>
      <c r="R20" s="1">
        <f aca="true" t="shared" si="48" ref="R20:R65">IF(H20="","",IF(R$14="","",IF(S$14="",ocdf(cut8,H20)-ocdf(cut8,I20),(ocdf(cut9,I20)-ocdf(cut8,I20))-(ocdf(cut9,H20)-ocdf(cut8,H20)))))</f>
      </c>
      <c r="S20" s="1">
        <f aca="true" t="shared" si="49" ref="S20:S65">IF(H20="","",IF(S$14="","",ocdf(cut9,H20)-ocdf(cut9,I20)))</f>
      </c>
      <c r="T20" s="1">
        <f t="shared" si="3"/>
        <v>-1.2301299999999997</v>
      </c>
      <c r="U20" s="1">
        <f t="shared" si="4"/>
        <v>0.1098700000000003</v>
      </c>
      <c r="V20" s="1">
        <f t="shared" si="10"/>
        <v>-0.15455683785673235</v>
      </c>
      <c r="W20" s="1">
        <f t="shared" si="11"/>
        <v>-0.16808647284846095</v>
      </c>
      <c r="X20" s="1">
        <f t="shared" si="12"/>
        <v>0.15895480697106618</v>
      </c>
      <c r="Y20" s="1">
        <f t="shared" si="13"/>
        <v>0.16368850373412713</v>
      </c>
      <c r="Z20" s="1">
        <f t="shared" si="14"/>
      </c>
      <c r="AA20" s="1">
        <f t="shared" si="15"/>
      </c>
      <c r="AB20" s="1">
        <f t="shared" si="16"/>
      </c>
      <c r="AC20" s="1">
        <f t="shared" si="17"/>
      </c>
      <c r="AD20" s="1">
        <f t="shared" si="18"/>
      </c>
      <c r="AE20" s="1">
        <f t="shared" si="19"/>
      </c>
      <c r="AF20" s="1">
        <f t="shared" si="5"/>
        <v>-0.4448899999999997</v>
      </c>
      <c r="AG20" s="1">
        <f t="shared" si="6"/>
        <v>-0.3778899999999996</v>
      </c>
      <c r="AH20" s="1">
        <f t="shared" si="20"/>
        <v>-0.0067516289968481</v>
      </c>
      <c r="AI20" s="1">
        <f t="shared" si="21"/>
        <v>-0.009796534226242604</v>
      </c>
      <c r="AJ20" s="1">
        <f t="shared" si="22"/>
        <v>0.0076356646700130315</v>
      </c>
      <c r="AK20" s="1">
        <f t="shared" si="23"/>
        <v>0.00891249855307763</v>
      </c>
      <c r="AL20" s="1">
        <f t="shared" si="24"/>
      </c>
      <c r="AM20" s="1">
        <f t="shared" si="25"/>
      </c>
      <c r="AN20" s="1">
        <f t="shared" si="26"/>
      </c>
      <c r="AO20" s="1">
        <f t="shared" si="27"/>
      </c>
      <c r="AP20" s="1">
        <f t="shared" si="28"/>
      </c>
      <c r="AQ20" s="1">
        <f t="shared" si="29"/>
      </c>
      <c r="AR20" s="1">
        <f t="shared" si="7"/>
        <v>-0.5172499999999997</v>
      </c>
      <c r="AS20" s="1">
        <f t="shared" si="8"/>
        <v>-0.30552999999999964</v>
      </c>
      <c r="AT20" s="1">
        <f t="shared" si="30"/>
        <v>-0.021349307653421454</v>
      </c>
      <c r="AU20" s="1">
        <f t="shared" si="31"/>
        <v>-0.030900567172686633</v>
      </c>
      <c r="AV20" s="1">
        <f t="shared" si="32"/>
        <v>0.024076848531825013</v>
      </c>
      <c r="AW20" s="1">
        <f t="shared" si="33"/>
        <v>0.028173026294283088</v>
      </c>
      <c r="AX20" s="1">
        <f t="shared" si="34"/>
      </c>
      <c r="AY20" s="1">
        <f t="shared" si="35"/>
      </c>
      <c r="AZ20" s="1">
        <f t="shared" si="36"/>
      </c>
      <c r="BA20" s="1">
        <f t="shared" si="37"/>
      </c>
      <c r="BB20" s="1">
        <f t="shared" si="38"/>
      </c>
      <c r="BC20" s="1">
        <f t="shared" si="39"/>
      </c>
    </row>
    <row r="21" spans="5:55" ht="11.25">
      <c r="E21" s="1">
        <f t="shared" si="9"/>
        <v>43.333333333333336</v>
      </c>
      <c r="F21" s="1">
        <f t="shared" si="0"/>
        <v>-0.37604333333333306</v>
      </c>
      <c r="H21" s="1">
        <f t="shared" si="1"/>
        <v>-0.6489299999999997</v>
      </c>
      <c r="I21" s="1">
        <f t="shared" si="2"/>
        <v>-0.6429299999999997</v>
      </c>
      <c r="J21" s="1">
        <f t="shared" si="40"/>
        <v>-0.0007204356357074226</v>
      </c>
      <c r="K21" s="1">
        <f t="shared" si="41"/>
        <v>-0.0007794796533120429</v>
      </c>
      <c r="L21" s="1">
        <f t="shared" si="42"/>
        <v>0.000824810355425476</v>
      </c>
      <c r="M21" s="1">
        <f t="shared" si="43"/>
        <v>0.0006751049335940174</v>
      </c>
      <c r="N21" s="1">
        <f t="shared" si="44"/>
      </c>
      <c r="O21" s="1">
        <f t="shared" si="45"/>
      </c>
      <c r="P21" s="1">
        <f t="shared" si="46"/>
      </c>
      <c r="Q21" s="1">
        <f t="shared" si="47"/>
      </c>
      <c r="R21" s="1">
        <f t="shared" si="48"/>
      </c>
      <c r="S21" s="1">
        <f t="shared" si="49"/>
      </c>
      <c r="T21" s="1">
        <f t="shared" si="3"/>
        <v>-0.5769299999999997</v>
      </c>
      <c r="U21" s="1">
        <f t="shared" si="4"/>
        <v>-0.15692999999999968</v>
      </c>
      <c r="V21" s="1">
        <f t="shared" si="10"/>
        <v>-0.04100787467282789</v>
      </c>
      <c r="W21" s="1">
        <f t="shared" si="11"/>
        <v>-0.06182453494605711</v>
      </c>
      <c r="X21" s="1">
        <f t="shared" si="12"/>
        <v>0.04518091771885446</v>
      </c>
      <c r="Y21" s="1">
        <f t="shared" si="13"/>
        <v>0.057651491900030494</v>
      </c>
      <c r="Z21" s="1">
        <f t="shared" si="14"/>
      </c>
      <c r="AA21" s="1">
        <f t="shared" si="15"/>
      </c>
      <c r="AB21" s="1">
        <f t="shared" si="16"/>
      </c>
      <c r="AC21" s="1">
        <f t="shared" si="17"/>
      </c>
      <c r="AD21" s="1">
        <f t="shared" si="18"/>
      </c>
      <c r="AE21" s="1">
        <f t="shared" si="19"/>
      </c>
      <c r="AF21" s="1">
        <f t="shared" si="5"/>
        <v>-0.41438999999999965</v>
      </c>
      <c r="AG21" s="1">
        <f t="shared" si="6"/>
        <v>-0.40838999999999964</v>
      </c>
      <c r="AH21" s="1">
        <f t="shared" si="20"/>
        <v>-0.0006045791411604245</v>
      </c>
      <c r="AI21" s="1">
        <f t="shared" si="21"/>
        <v>-0.0008774784676698344</v>
      </c>
      <c r="AJ21" s="1">
        <f t="shared" si="22"/>
        <v>0.0006839532998478282</v>
      </c>
      <c r="AK21" s="1">
        <f t="shared" si="23"/>
        <v>0.0007981043089824169</v>
      </c>
      <c r="AL21" s="1">
        <f t="shared" si="24"/>
      </c>
      <c r="AM21" s="1">
        <f t="shared" si="25"/>
      </c>
      <c r="AN21" s="1">
        <f t="shared" si="26"/>
      </c>
      <c r="AO21" s="1">
        <f t="shared" si="27"/>
      </c>
      <c r="AP21" s="1">
        <f t="shared" si="28"/>
      </c>
      <c r="AQ21" s="1">
        <f t="shared" si="29"/>
      </c>
      <c r="AR21" s="1">
        <f t="shared" si="7"/>
        <v>-0.45485999999999965</v>
      </c>
      <c r="AS21" s="1">
        <f t="shared" si="8"/>
        <v>-0.36791999999999964</v>
      </c>
      <c r="AT21" s="1">
        <f t="shared" si="30"/>
        <v>-0.008761437310818673</v>
      </c>
      <c r="AU21" s="1">
        <f t="shared" si="31"/>
        <v>-0.012710333220510461</v>
      </c>
      <c r="AV21" s="1">
        <f t="shared" si="32"/>
        <v>0.00990650756275463</v>
      </c>
      <c r="AW21" s="1">
        <f t="shared" si="33"/>
        <v>0.011565262968574519</v>
      </c>
      <c r="AX21" s="1">
        <f t="shared" si="34"/>
      </c>
      <c r="AY21" s="1">
        <f t="shared" si="35"/>
      </c>
      <c r="AZ21" s="1">
        <f t="shared" si="36"/>
      </c>
      <c r="BA21" s="1">
        <f t="shared" si="37"/>
      </c>
      <c r="BB21" s="1">
        <f t="shared" si="38"/>
      </c>
      <c r="BC21" s="1">
        <f t="shared" si="39"/>
      </c>
    </row>
    <row r="22" spans="5:55" ht="11.25">
      <c r="E22" s="1">
        <f t="shared" si="9"/>
        <v>50</v>
      </c>
      <c r="F22" s="1">
        <f t="shared" si="0"/>
        <v>-0.5227099999999997</v>
      </c>
      <c r="H22" s="1">
        <f t="shared" si="1"/>
      </c>
      <c r="I22" s="1">
        <f t="shared" si="2"/>
      </c>
      <c r="J22" s="1">
        <f t="shared" si="40"/>
      </c>
      <c r="K22" s="1">
        <f t="shared" si="41"/>
      </c>
      <c r="L22" s="1">
        <f t="shared" si="42"/>
      </c>
      <c r="M22" s="1">
        <f t="shared" si="43"/>
      </c>
      <c r="N22" s="1">
        <f t="shared" si="44"/>
      </c>
      <c r="O22" s="1">
        <f t="shared" si="45"/>
      </c>
      <c r="P22" s="1">
        <f t="shared" si="46"/>
      </c>
      <c r="Q22" s="1">
        <f t="shared" si="47"/>
      </c>
      <c r="R22" s="1">
        <f t="shared" si="48"/>
      </c>
      <c r="S22" s="1">
        <f t="shared" si="49"/>
      </c>
      <c r="T22" s="1">
        <f t="shared" si="3"/>
      </c>
      <c r="U22" s="1">
        <f t="shared" si="4"/>
      </c>
      <c r="V22" s="1">
        <f t="shared" si="10"/>
      </c>
      <c r="W22" s="1">
        <f t="shared" si="11"/>
      </c>
      <c r="X22" s="1">
        <f t="shared" si="12"/>
      </c>
      <c r="Y22" s="1">
        <f t="shared" si="13"/>
      </c>
      <c r="Z22" s="1">
        <f t="shared" si="14"/>
      </c>
      <c r="AA22" s="1">
        <f t="shared" si="15"/>
      </c>
      <c r="AB22" s="1">
        <f t="shared" si="16"/>
      </c>
      <c r="AC22" s="1">
        <f t="shared" si="17"/>
      </c>
      <c r="AD22" s="1">
        <f t="shared" si="18"/>
      </c>
      <c r="AE22" s="1">
        <f t="shared" si="19"/>
      </c>
      <c r="AF22" s="1">
        <f t="shared" si="5"/>
      </c>
      <c r="AG22" s="1">
        <f t="shared" si="6"/>
      </c>
      <c r="AH22" s="1">
        <f t="shared" si="20"/>
      </c>
      <c r="AI22" s="1">
        <f t="shared" si="21"/>
      </c>
      <c r="AJ22" s="1">
        <f t="shared" si="22"/>
      </c>
      <c r="AK22" s="1">
        <f t="shared" si="23"/>
      </c>
      <c r="AL22" s="1">
        <f t="shared" si="24"/>
      </c>
      <c r="AM22" s="1">
        <f t="shared" si="25"/>
      </c>
      <c r="AN22" s="1">
        <f t="shared" si="26"/>
      </c>
      <c r="AO22" s="1">
        <f t="shared" si="27"/>
      </c>
      <c r="AP22" s="1">
        <f t="shared" si="28"/>
      </c>
      <c r="AQ22" s="1">
        <f t="shared" si="29"/>
      </c>
      <c r="AR22" s="1">
        <f t="shared" si="7"/>
      </c>
      <c r="AS22" s="1">
        <f t="shared" si="8"/>
      </c>
      <c r="AT22" s="1">
        <f t="shared" si="30"/>
      </c>
      <c r="AU22" s="1">
        <f t="shared" si="31"/>
      </c>
      <c r="AV22" s="1">
        <f t="shared" si="32"/>
      </c>
      <c r="AW22" s="1">
        <f t="shared" si="33"/>
      </c>
      <c r="AX22" s="1">
        <f t="shared" si="34"/>
      </c>
      <c r="AY22" s="1">
        <f t="shared" si="35"/>
      </c>
      <c r="AZ22" s="1">
        <f t="shared" si="36"/>
      </c>
      <c r="BA22" s="1">
        <f t="shared" si="37"/>
      </c>
      <c r="BB22" s="1">
        <f t="shared" si="38"/>
      </c>
      <c r="BC22" s="1">
        <f t="shared" si="39"/>
      </c>
    </row>
    <row r="23" spans="2:55" ht="11.25">
      <c r="B23" s="13" t="s">
        <v>90</v>
      </c>
      <c r="E23" s="1">
        <f t="shared" si="9"/>
        <v>56.666666666666664</v>
      </c>
      <c r="F23" s="1">
        <f t="shared" si="0"/>
        <v>-0.6693766666666663</v>
      </c>
      <c r="H23" s="1">
        <f t="shared" si="1"/>
      </c>
      <c r="I23" s="1">
        <f t="shared" si="2"/>
      </c>
      <c r="J23" s="1">
        <f t="shared" si="40"/>
      </c>
      <c r="K23" s="1">
        <f t="shared" si="41"/>
      </c>
      <c r="L23" s="1">
        <f t="shared" si="42"/>
      </c>
      <c r="M23" s="1">
        <f t="shared" si="43"/>
      </c>
      <c r="N23" s="1">
        <f t="shared" si="44"/>
      </c>
      <c r="O23" s="1">
        <f t="shared" si="45"/>
      </c>
      <c r="P23" s="1">
        <f t="shared" si="46"/>
      </c>
      <c r="Q23" s="1">
        <f t="shared" si="47"/>
      </c>
      <c r="R23" s="1">
        <f t="shared" si="48"/>
      </c>
      <c r="S23" s="1">
        <f t="shared" si="49"/>
      </c>
      <c r="T23" s="1">
        <f t="shared" si="3"/>
      </c>
      <c r="U23" s="1">
        <f t="shared" si="4"/>
      </c>
      <c r="V23" s="1">
        <f t="shared" si="10"/>
      </c>
      <c r="W23" s="1">
        <f t="shared" si="11"/>
      </c>
      <c r="X23" s="1">
        <f t="shared" si="12"/>
      </c>
      <c r="Y23" s="1">
        <f t="shared" si="13"/>
      </c>
      <c r="Z23" s="1">
        <f t="shared" si="14"/>
      </c>
      <c r="AA23" s="1">
        <f t="shared" si="15"/>
      </c>
      <c r="AB23" s="1">
        <f t="shared" si="16"/>
      </c>
      <c r="AC23" s="1">
        <f t="shared" si="17"/>
      </c>
      <c r="AD23" s="1">
        <f t="shared" si="18"/>
      </c>
      <c r="AE23" s="1">
        <f t="shared" si="19"/>
      </c>
      <c r="AF23" s="1">
        <f t="shared" si="5"/>
      </c>
      <c r="AG23" s="1">
        <f t="shared" si="6"/>
      </c>
      <c r="AH23" s="1">
        <f t="shared" si="20"/>
      </c>
      <c r="AI23" s="1">
        <f t="shared" si="21"/>
      </c>
      <c r="AJ23" s="1">
        <f t="shared" si="22"/>
      </c>
      <c r="AK23" s="1">
        <f t="shared" si="23"/>
      </c>
      <c r="AL23" s="1">
        <f t="shared" si="24"/>
      </c>
      <c r="AM23" s="1">
        <f t="shared" si="25"/>
      </c>
      <c r="AN23" s="1">
        <f t="shared" si="26"/>
      </c>
      <c r="AO23" s="1">
        <f t="shared" si="27"/>
      </c>
      <c r="AP23" s="1">
        <f t="shared" si="28"/>
      </c>
      <c r="AQ23" s="1">
        <f t="shared" si="29"/>
      </c>
      <c r="AR23" s="1">
        <f t="shared" si="7"/>
      </c>
      <c r="AS23" s="1">
        <f t="shared" si="8"/>
      </c>
      <c r="AT23" s="1">
        <f t="shared" si="30"/>
      </c>
      <c r="AU23" s="1">
        <f t="shared" si="31"/>
      </c>
      <c r="AV23" s="1">
        <f t="shared" si="32"/>
      </c>
      <c r="AW23" s="1">
        <f t="shared" si="33"/>
      </c>
      <c r="AX23" s="1">
        <f t="shared" si="34"/>
      </c>
      <c r="AY23" s="1">
        <f t="shared" si="35"/>
      </c>
      <c r="AZ23" s="1">
        <f t="shared" si="36"/>
      </c>
      <c r="BA23" s="1">
        <f t="shared" si="37"/>
      </c>
      <c r="BB23" s="1">
        <f t="shared" si="38"/>
      </c>
      <c r="BC23" s="1">
        <f t="shared" si="39"/>
      </c>
    </row>
    <row r="24" spans="2:55" ht="11.25">
      <c r="B24" s="1">
        <f>IF(ChV="","",+Sbase-Bvtoc1*(Bvc1-ChV))</f>
        <v>-0.6209899999999997</v>
      </c>
      <c r="E24" s="1">
        <f t="shared" si="9"/>
        <v>63.33333333333333</v>
      </c>
      <c r="F24" s="1">
        <f t="shared" si="0"/>
        <v>-0.8160433333333329</v>
      </c>
      <c r="H24" s="1">
        <f t="shared" si="1"/>
      </c>
      <c r="I24" s="1">
        <f t="shared" si="2"/>
      </c>
      <c r="J24" s="1">
        <f t="shared" si="40"/>
      </c>
      <c r="K24" s="1">
        <f t="shared" si="41"/>
      </c>
      <c r="L24" s="1">
        <f t="shared" si="42"/>
      </c>
      <c r="M24" s="1">
        <f t="shared" si="43"/>
      </c>
      <c r="N24" s="1">
        <f t="shared" si="44"/>
      </c>
      <c r="O24" s="1">
        <f t="shared" si="45"/>
      </c>
      <c r="P24" s="1">
        <f t="shared" si="46"/>
      </c>
      <c r="Q24" s="1">
        <f t="shared" si="47"/>
      </c>
      <c r="R24" s="1">
        <f t="shared" si="48"/>
      </c>
      <c r="S24" s="1">
        <f t="shared" si="49"/>
      </c>
      <c r="T24" s="1">
        <f t="shared" si="3"/>
      </c>
      <c r="U24" s="1">
        <f t="shared" si="4"/>
      </c>
      <c r="V24" s="1">
        <f t="shared" si="10"/>
      </c>
      <c r="W24" s="1">
        <f t="shared" si="11"/>
      </c>
      <c r="X24" s="1">
        <f t="shared" si="12"/>
      </c>
      <c r="Y24" s="1">
        <f t="shared" si="13"/>
      </c>
      <c r="Z24" s="1">
        <f t="shared" si="14"/>
      </c>
      <c r="AA24" s="1">
        <f t="shared" si="15"/>
      </c>
      <c r="AB24" s="1">
        <f t="shared" si="16"/>
      </c>
      <c r="AC24" s="1">
        <f t="shared" si="17"/>
      </c>
      <c r="AD24" s="1">
        <f t="shared" si="18"/>
      </c>
      <c r="AE24" s="1">
        <f t="shared" si="19"/>
      </c>
      <c r="AF24" s="1">
        <f t="shared" si="5"/>
      </c>
      <c r="AG24" s="1">
        <f t="shared" si="6"/>
      </c>
      <c r="AH24" s="1">
        <f t="shared" si="20"/>
      </c>
      <c r="AI24" s="1">
        <f t="shared" si="21"/>
      </c>
      <c r="AJ24" s="1">
        <f t="shared" si="22"/>
      </c>
      <c r="AK24" s="1">
        <f t="shared" si="23"/>
      </c>
      <c r="AL24" s="1">
        <f t="shared" si="24"/>
      </c>
      <c r="AM24" s="1">
        <f t="shared" si="25"/>
      </c>
      <c r="AN24" s="1">
        <f t="shared" si="26"/>
      </c>
      <c r="AO24" s="1">
        <f t="shared" si="27"/>
      </c>
      <c r="AP24" s="1">
        <f t="shared" si="28"/>
      </c>
      <c r="AQ24" s="1">
        <f t="shared" si="29"/>
      </c>
      <c r="AR24" s="1">
        <f t="shared" si="7"/>
      </c>
      <c r="AS24" s="1">
        <f t="shared" si="8"/>
      </c>
      <c r="AT24" s="1">
        <f t="shared" si="30"/>
      </c>
      <c r="AU24" s="1">
        <f t="shared" si="31"/>
      </c>
      <c r="AV24" s="1">
        <f t="shared" si="32"/>
      </c>
      <c r="AW24" s="1">
        <f t="shared" si="33"/>
      </c>
      <c r="AX24" s="1">
        <f t="shared" si="34"/>
      </c>
      <c r="AY24" s="1">
        <f t="shared" si="35"/>
      </c>
      <c r="AZ24" s="1">
        <f t="shared" si="36"/>
      </c>
      <c r="BA24" s="1">
        <f t="shared" si="37"/>
      </c>
      <c r="BB24" s="1">
        <f t="shared" si="38"/>
      </c>
      <c r="BC24" s="1">
        <f t="shared" si="39"/>
      </c>
    </row>
    <row r="25" spans="2:55" ht="11.25">
      <c r="B25" s="1">
        <f>IF(ChV="","",+Sbase-Bvtoc1*(Bvc1-ChV))</f>
        <v>-0.09698999999999963</v>
      </c>
      <c r="E25" s="1">
        <f t="shared" si="9"/>
        <v>70</v>
      </c>
      <c r="F25" s="1">
        <f t="shared" si="0"/>
        <v>-0.9627099999999997</v>
      </c>
      <c r="H25" s="1">
        <f t="shared" si="1"/>
      </c>
      <c r="I25" s="1">
        <f t="shared" si="2"/>
      </c>
      <c r="J25" s="1">
        <f t="shared" si="40"/>
      </c>
      <c r="K25" s="1">
        <f t="shared" si="41"/>
      </c>
      <c r="L25" s="1">
        <f t="shared" si="42"/>
      </c>
      <c r="M25" s="1">
        <f t="shared" si="43"/>
      </c>
      <c r="N25" s="1">
        <f t="shared" si="44"/>
      </c>
      <c r="O25" s="1">
        <f t="shared" si="45"/>
      </c>
      <c r="P25" s="1">
        <f t="shared" si="46"/>
      </c>
      <c r="Q25" s="1">
        <f t="shared" si="47"/>
      </c>
      <c r="R25" s="1">
        <f t="shared" si="48"/>
      </c>
      <c r="S25" s="1">
        <f t="shared" si="49"/>
      </c>
      <c r="T25" s="1">
        <f t="shared" si="3"/>
      </c>
      <c r="U25" s="1">
        <f t="shared" si="4"/>
      </c>
      <c r="V25" s="1">
        <f t="shared" si="10"/>
      </c>
      <c r="W25" s="1">
        <f t="shared" si="11"/>
      </c>
      <c r="X25" s="1">
        <f t="shared" si="12"/>
      </c>
      <c r="Y25" s="1">
        <f t="shared" si="13"/>
      </c>
      <c r="Z25" s="1">
        <f t="shared" si="14"/>
      </c>
      <c r="AA25" s="1">
        <f t="shared" si="15"/>
      </c>
      <c r="AB25" s="1">
        <f t="shared" si="16"/>
      </c>
      <c r="AC25" s="1">
        <f t="shared" si="17"/>
      </c>
      <c r="AD25" s="1">
        <f t="shared" si="18"/>
      </c>
      <c r="AE25" s="1">
        <f t="shared" si="19"/>
      </c>
      <c r="AF25" s="1">
        <f t="shared" si="5"/>
      </c>
      <c r="AG25" s="1">
        <f t="shared" si="6"/>
      </c>
      <c r="AH25" s="1">
        <f t="shared" si="20"/>
      </c>
      <c r="AI25" s="1">
        <f t="shared" si="21"/>
      </c>
      <c r="AJ25" s="1">
        <f t="shared" si="22"/>
      </c>
      <c r="AK25" s="1">
        <f t="shared" si="23"/>
      </c>
      <c r="AL25" s="1">
        <f t="shared" si="24"/>
      </c>
      <c r="AM25" s="1">
        <f t="shared" si="25"/>
      </c>
      <c r="AN25" s="1">
        <f t="shared" si="26"/>
      </c>
      <c r="AO25" s="1">
        <f t="shared" si="27"/>
      </c>
      <c r="AP25" s="1">
        <f t="shared" si="28"/>
      </c>
      <c r="AQ25" s="1">
        <f t="shared" si="29"/>
      </c>
      <c r="AR25" s="1">
        <f t="shared" si="7"/>
      </c>
      <c r="AS25" s="1">
        <f t="shared" si="8"/>
      </c>
      <c r="AT25" s="1">
        <f t="shared" si="30"/>
      </c>
      <c r="AU25" s="1">
        <f t="shared" si="31"/>
      </c>
      <c r="AV25" s="1">
        <f t="shared" si="32"/>
      </c>
      <c r="AW25" s="1">
        <f t="shared" si="33"/>
      </c>
      <c r="AX25" s="1">
        <f t="shared" si="34"/>
      </c>
      <c r="AY25" s="1">
        <f t="shared" si="35"/>
      </c>
      <c r="AZ25" s="1">
        <f t="shared" si="36"/>
      </c>
      <c r="BA25" s="1">
        <f t="shared" si="37"/>
      </c>
      <c r="BB25" s="1">
        <f t="shared" si="38"/>
      </c>
      <c r="BC25" s="1">
        <f t="shared" si="39"/>
      </c>
    </row>
    <row r="26" spans="2:55" ht="11.25">
      <c r="B26" s="1">
        <f>IF(ChV="","",+Sbase-Bvtoc1*(Bvc1-ChV))</f>
      </c>
      <c r="E26" s="1">
        <f t="shared" si="9"/>
      </c>
      <c r="F26" s="1">
        <f aca="true" t="shared" si="50" ref="F26:F35">IF(E26="","",+Sbase-BVtoP*(PbaseV-E26))</f>
      </c>
      <c r="H26" s="1">
        <f t="shared" si="1"/>
      </c>
      <c r="I26" s="1">
        <f t="shared" si="2"/>
      </c>
      <c r="J26" s="1">
        <f t="shared" si="40"/>
      </c>
      <c r="K26" s="1">
        <f t="shared" si="41"/>
      </c>
      <c r="L26" s="1">
        <f t="shared" si="42"/>
      </c>
      <c r="M26" s="1">
        <f t="shared" si="43"/>
      </c>
      <c r="N26" s="1">
        <f t="shared" si="44"/>
      </c>
      <c r="O26" s="1">
        <f t="shared" si="45"/>
      </c>
      <c r="P26" s="1">
        <f t="shared" si="46"/>
      </c>
      <c r="Q26" s="1">
        <f t="shared" si="47"/>
      </c>
      <c r="R26" s="1">
        <f t="shared" si="48"/>
      </c>
      <c r="S26" s="1">
        <f t="shared" si="49"/>
      </c>
      <c r="T26" s="1">
        <f t="shared" si="3"/>
      </c>
      <c r="U26" s="1">
        <f t="shared" si="4"/>
      </c>
      <c r="V26" s="1">
        <f t="shared" si="10"/>
      </c>
      <c r="W26" s="1">
        <f t="shared" si="11"/>
      </c>
      <c r="X26" s="1">
        <f t="shared" si="12"/>
      </c>
      <c r="Y26" s="1">
        <f t="shared" si="13"/>
      </c>
      <c r="Z26" s="1">
        <f t="shared" si="14"/>
      </c>
      <c r="AA26" s="1">
        <f t="shared" si="15"/>
      </c>
      <c r="AB26" s="1">
        <f t="shared" si="16"/>
      </c>
      <c r="AC26" s="1">
        <f t="shared" si="17"/>
      </c>
      <c r="AD26" s="1">
        <f t="shared" si="18"/>
      </c>
      <c r="AE26" s="1">
        <f t="shared" si="19"/>
      </c>
      <c r="AF26" s="1">
        <f t="shared" si="5"/>
      </c>
      <c r="AG26" s="1">
        <f t="shared" si="6"/>
      </c>
      <c r="AH26" s="1">
        <f t="shared" si="20"/>
      </c>
      <c r="AI26" s="1">
        <f t="shared" si="21"/>
      </c>
      <c r="AJ26" s="1">
        <f t="shared" si="22"/>
      </c>
      <c r="AK26" s="1">
        <f t="shared" si="23"/>
      </c>
      <c r="AL26" s="1">
        <f t="shared" si="24"/>
      </c>
      <c r="AM26" s="1">
        <f t="shared" si="25"/>
      </c>
      <c r="AN26" s="1">
        <f t="shared" si="26"/>
      </c>
      <c r="AO26" s="1">
        <f t="shared" si="27"/>
      </c>
      <c r="AP26" s="1">
        <f t="shared" si="28"/>
      </c>
      <c r="AQ26" s="1">
        <f t="shared" si="29"/>
      </c>
      <c r="AR26" s="1">
        <f t="shared" si="7"/>
      </c>
      <c r="AS26" s="1">
        <f t="shared" si="8"/>
      </c>
      <c r="AT26" s="1">
        <f t="shared" si="30"/>
      </c>
      <c r="AU26" s="1">
        <f t="shared" si="31"/>
      </c>
      <c r="AV26" s="1">
        <f t="shared" si="32"/>
      </c>
      <c r="AW26" s="1">
        <f t="shared" si="33"/>
      </c>
      <c r="AX26" s="1">
        <f t="shared" si="34"/>
      </c>
      <c r="AY26" s="1">
        <f t="shared" si="35"/>
      </c>
      <c r="AZ26" s="1">
        <f t="shared" si="36"/>
      </c>
      <c r="BA26" s="1">
        <f t="shared" si="37"/>
      </c>
      <c r="BB26" s="1">
        <f t="shared" si="38"/>
      </c>
      <c r="BC26" s="1">
        <f t="shared" si="39"/>
      </c>
    </row>
    <row r="27" spans="2:55" ht="11.25">
      <c r="B27" s="1">
        <f>IF(ChV="","",+Sbase-Bvtoc1*(Bvc1-ChV))</f>
      </c>
      <c r="E27" s="1">
        <f t="shared" si="9"/>
      </c>
      <c r="F27" s="1">
        <f t="shared" si="50"/>
      </c>
      <c r="H27" s="1">
        <f t="shared" si="1"/>
      </c>
      <c r="I27" s="1">
        <f t="shared" si="2"/>
      </c>
      <c r="J27" s="1">
        <f t="shared" si="40"/>
      </c>
      <c r="K27" s="1">
        <f t="shared" si="41"/>
      </c>
      <c r="L27" s="1">
        <f t="shared" si="42"/>
      </c>
      <c r="M27" s="1">
        <f t="shared" si="43"/>
      </c>
      <c r="N27" s="1">
        <f t="shared" si="44"/>
      </c>
      <c r="O27" s="1">
        <f t="shared" si="45"/>
      </c>
      <c r="P27" s="1">
        <f t="shared" si="46"/>
      </c>
      <c r="Q27" s="1">
        <f t="shared" si="47"/>
      </c>
      <c r="R27" s="1">
        <f t="shared" si="48"/>
      </c>
      <c r="S27" s="1">
        <f t="shared" si="49"/>
      </c>
      <c r="T27" s="1">
        <f t="shared" si="3"/>
      </c>
      <c r="U27" s="1">
        <f t="shared" si="4"/>
      </c>
      <c r="V27" s="1">
        <f t="shared" si="10"/>
      </c>
      <c r="W27" s="1">
        <f t="shared" si="11"/>
      </c>
      <c r="X27" s="1">
        <f t="shared" si="12"/>
      </c>
      <c r="Y27" s="1">
        <f t="shared" si="13"/>
      </c>
      <c r="Z27" s="1">
        <f t="shared" si="14"/>
      </c>
      <c r="AA27" s="1">
        <f t="shared" si="15"/>
      </c>
      <c r="AB27" s="1">
        <f t="shared" si="16"/>
      </c>
      <c r="AC27" s="1">
        <f t="shared" si="17"/>
      </c>
      <c r="AD27" s="1">
        <f t="shared" si="18"/>
      </c>
      <c r="AE27" s="1">
        <f t="shared" si="19"/>
      </c>
      <c r="AF27" s="1">
        <f t="shared" si="5"/>
      </c>
      <c r="AG27" s="1">
        <f t="shared" si="6"/>
      </c>
      <c r="AH27" s="1">
        <f t="shared" si="20"/>
      </c>
      <c r="AI27" s="1">
        <f t="shared" si="21"/>
      </c>
      <c r="AJ27" s="1">
        <f t="shared" si="22"/>
      </c>
      <c r="AK27" s="1">
        <f t="shared" si="23"/>
      </c>
      <c r="AL27" s="1">
        <f t="shared" si="24"/>
      </c>
      <c r="AM27" s="1">
        <f t="shared" si="25"/>
      </c>
      <c r="AN27" s="1">
        <f t="shared" si="26"/>
      </c>
      <c r="AO27" s="1">
        <f t="shared" si="27"/>
      </c>
      <c r="AP27" s="1">
        <f t="shared" si="28"/>
      </c>
      <c r="AQ27" s="1">
        <f t="shared" si="29"/>
      </c>
      <c r="AR27" s="1">
        <f t="shared" si="7"/>
      </c>
      <c r="AS27" s="1">
        <f t="shared" si="8"/>
      </c>
      <c r="AT27" s="1">
        <f t="shared" si="30"/>
      </c>
      <c r="AU27" s="1">
        <f t="shared" si="31"/>
      </c>
      <c r="AV27" s="1">
        <f t="shared" si="32"/>
      </c>
      <c r="AW27" s="1">
        <f t="shared" si="33"/>
      </c>
      <c r="AX27" s="1">
        <f t="shared" si="34"/>
      </c>
      <c r="AY27" s="1">
        <f t="shared" si="35"/>
      </c>
      <c r="AZ27" s="1">
        <f t="shared" si="36"/>
      </c>
      <c r="BA27" s="1">
        <f t="shared" si="37"/>
      </c>
      <c r="BB27" s="1">
        <f t="shared" si="38"/>
      </c>
      <c r="BC27" s="1">
        <f t="shared" si="39"/>
      </c>
    </row>
    <row r="28" spans="2:55" ht="11.25">
      <c r="B28" s="1">
        <f>IF(ChV="","",+Sbase-Bvtoc1*(Bvc1-ChV))</f>
      </c>
      <c r="E28" s="1">
        <f t="shared" si="9"/>
      </c>
      <c r="F28" s="1">
        <f t="shared" si="50"/>
      </c>
      <c r="H28" s="1">
        <f t="shared" si="1"/>
      </c>
      <c r="I28" s="1">
        <f t="shared" si="2"/>
      </c>
      <c r="J28" s="1">
        <f t="shared" si="40"/>
      </c>
      <c r="K28" s="1">
        <f t="shared" si="41"/>
      </c>
      <c r="L28" s="1">
        <f t="shared" si="42"/>
      </c>
      <c r="M28" s="1">
        <f t="shared" si="43"/>
      </c>
      <c r="N28" s="1">
        <f t="shared" si="44"/>
      </c>
      <c r="O28" s="1">
        <f t="shared" si="45"/>
      </c>
      <c r="P28" s="1">
        <f t="shared" si="46"/>
      </c>
      <c r="Q28" s="1">
        <f t="shared" si="47"/>
      </c>
      <c r="R28" s="1">
        <f t="shared" si="48"/>
      </c>
      <c r="S28" s="1">
        <f t="shared" si="49"/>
      </c>
      <c r="T28" s="1">
        <f t="shared" si="3"/>
      </c>
      <c r="U28" s="1">
        <f t="shared" si="4"/>
      </c>
      <c r="V28" s="1">
        <f t="shared" si="10"/>
      </c>
      <c r="W28" s="1">
        <f t="shared" si="11"/>
      </c>
      <c r="X28" s="1">
        <f t="shared" si="12"/>
      </c>
      <c r="Y28" s="1">
        <f t="shared" si="13"/>
      </c>
      <c r="Z28" s="1">
        <f t="shared" si="14"/>
      </c>
      <c r="AA28" s="1">
        <f t="shared" si="15"/>
      </c>
      <c r="AB28" s="1">
        <f t="shared" si="16"/>
      </c>
      <c r="AC28" s="1">
        <f t="shared" si="17"/>
      </c>
      <c r="AD28" s="1">
        <f t="shared" si="18"/>
      </c>
      <c r="AE28" s="1">
        <f t="shared" si="19"/>
      </c>
      <c r="AF28" s="1">
        <f t="shared" si="5"/>
      </c>
      <c r="AG28" s="1">
        <f t="shared" si="6"/>
      </c>
      <c r="AH28" s="1">
        <f t="shared" si="20"/>
      </c>
      <c r="AI28" s="1">
        <f t="shared" si="21"/>
      </c>
      <c r="AJ28" s="1">
        <f t="shared" si="22"/>
      </c>
      <c r="AK28" s="1">
        <f t="shared" si="23"/>
      </c>
      <c r="AL28" s="1">
        <f t="shared" si="24"/>
      </c>
      <c r="AM28" s="1">
        <f t="shared" si="25"/>
      </c>
      <c r="AN28" s="1">
        <f t="shared" si="26"/>
      </c>
      <c r="AO28" s="1">
        <f t="shared" si="27"/>
      </c>
      <c r="AP28" s="1">
        <f t="shared" si="28"/>
      </c>
      <c r="AQ28" s="1">
        <f t="shared" si="29"/>
      </c>
      <c r="AR28" s="1">
        <f t="shared" si="7"/>
      </c>
      <c r="AS28" s="1">
        <f t="shared" si="8"/>
      </c>
      <c r="AT28" s="1">
        <f t="shared" si="30"/>
      </c>
      <c r="AU28" s="1">
        <f t="shared" si="31"/>
      </c>
      <c r="AV28" s="1">
        <f t="shared" si="32"/>
      </c>
      <c r="AW28" s="1">
        <f t="shared" si="33"/>
      </c>
      <c r="AX28" s="1">
        <f t="shared" si="34"/>
      </c>
      <c r="AY28" s="1">
        <f t="shared" si="35"/>
      </c>
      <c r="AZ28" s="1">
        <f t="shared" si="36"/>
      </c>
      <c r="BA28" s="1">
        <f t="shared" si="37"/>
      </c>
      <c r="BB28" s="1">
        <f t="shared" si="38"/>
      </c>
      <c r="BC28" s="1">
        <f t="shared" si="39"/>
      </c>
    </row>
    <row r="29" spans="2:55" ht="11.25">
      <c r="B29" s="1">
        <f>IF(ChV="","",+Sbase-Bvtoc2*(Bvc2-ChV))</f>
        <v>-0.06687999999999966</v>
      </c>
      <c r="E29" s="1">
        <f t="shared" si="9"/>
      </c>
      <c r="F29" s="1">
        <f t="shared" si="50"/>
      </c>
      <c r="H29" s="1">
        <f t="shared" si="1"/>
      </c>
      <c r="I29" s="1">
        <f t="shared" si="2"/>
      </c>
      <c r="J29" s="1">
        <f t="shared" si="40"/>
      </c>
      <c r="K29" s="1">
        <f t="shared" si="41"/>
      </c>
      <c r="L29" s="1">
        <f t="shared" si="42"/>
      </c>
      <c r="M29" s="1">
        <f t="shared" si="43"/>
      </c>
      <c r="N29" s="1">
        <f t="shared" si="44"/>
      </c>
      <c r="O29" s="1">
        <f t="shared" si="45"/>
      </c>
      <c r="P29" s="1">
        <f t="shared" si="46"/>
      </c>
      <c r="Q29" s="1">
        <f t="shared" si="47"/>
      </c>
      <c r="R29" s="1">
        <f t="shared" si="48"/>
      </c>
      <c r="S29" s="1">
        <f t="shared" si="49"/>
      </c>
      <c r="T29" s="1">
        <f t="shared" si="3"/>
      </c>
      <c r="U29" s="1">
        <f t="shared" si="4"/>
      </c>
      <c r="V29" s="1">
        <f t="shared" si="10"/>
      </c>
      <c r="W29" s="1">
        <f t="shared" si="11"/>
      </c>
      <c r="X29" s="1">
        <f t="shared" si="12"/>
      </c>
      <c r="Y29" s="1">
        <f t="shared" si="13"/>
      </c>
      <c r="Z29" s="1">
        <f t="shared" si="14"/>
      </c>
      <c r="AA29" s="1">
        <f t="shared" si="15"/>
      </c>
      <c r="AB29" s="1">
        <f t="shared" si="16"/>
      </c>
      <c r="AC29" s="1">
        <f t="shared" si="17"/>
      </c>
      <c r="AD29" s="1">
        <f t="shared" si="18"/>
      </c>
      <c r="AE29" s="1">
        <f t="shared" si="19"/>
      </c>
      <c r="AF29" s="1">
        <f t="shared" si="5"/>
      </c>
      <c r="AG29" s="1">
        <f t="shared" si="6"/>
      </c>
      <c r="AH29" s="1">
        <f t="shared" si="20"/>
      </c>
      <c r="AI29" s="1">
        <f t="shared" si="21"/>
      </c>
      <c r="AJ29" s="1">
        <f t="shared" si="22"/>
      </c>
      <c r="AK29" s="1">
        <f t="shared" si="23"/>
      </c>
      <c r="AL29" s="1">
        <f t="shared" si="24"/>
      </c>
      <c r="AM29" s="1">
        <f t="shared" si="25"/>
      </c>
      <c r="AN29" s="1">
        <f t="shared" si="26"/>
      </c>
      <c r="AO29" s="1">
        <f t="shared" si="27"/>
      </c>
      <c r="AP29" s="1">
        <f t="shared" si="28"/>
      </c>
      <c r="AQ29" s="1">
        <f t="shared" si="29"/>
      </c>
      <c r="AR29" s="1">
        <f t="shared" si="7"/>
      </c>
      <c r="AS29" s="1">
        <f t="shared" si="8"/>
      </c>
      <c r="AT29" s="1">
        <f t="shared" si="30"/>
      </c>
      <c r="AU29" s="1">
        <f t="shared" si="31"/>
      </c>
      <c r="AV29" s="1">
        <f t="shared" si="32"/>
      </c>
      <c r="AW29" s="1">
        <f t="shared" si="33"/>
      </c>
      <c r="AX29" s="1">
        <f t="shared" si="34"/>
      </c>
      <c r="AY29" s="1">
        <f t="shared" si="35"/>
      </c>
      <c r="AZ29" s="1">
        <f t="shared" si="36"/>
      </c>
      <c r="BA29" s="1">
        <f t="shared" si="37"/>
      </c>
      <c r="BB29" s="1">
        <f t="shared" si="38"/>
      </c>
      <c r="BC29" s="1">
        <f t="shared" si="39"/>
      </c>
    </row>
    <row r="30" spans="2:55" ht="11.25">
      <c r="B30" s="1">
        <f>IF(ChV="","",+Sbase-Bvtoc2*(Bvc2-ChV))</f>
        <v>-0.7998799999999997</v>
      </c>
      <c r="E30" s="1">
        <f t="shared" si="9"/>
      </c>
      <c r="F30" s="1">
        <f t="shared" si="50"/>
      </c>
      <c r="H30" s="1">
        <f t="shared" si="1"/>
      </c>
      <c r="I30" s="1">
        <f t="shared" si="2"/>
      </c>
      <c r="J30" s="1">
        <f t="shared" si="40"/>
      </c>
      <c r="K30" s="1">
        <f t="shared" si="41"/>
      </c>
      <c r="L30" s="1">
        <f t="shared" si="42"/>
      </c>
      <c r="M30" s="1">
        <f t="shared" si="43"/>
      </c>
      <c r="N30" s="1">
        <f t="shared" si="44"/>
      </c>
      <c r="O30" s="1">
        <f t="shared" si="45"/>
      </c>
      <c r="P30" s="1">
        <f t="shared" si="46"/>
      </c>
      <c r="Q30" s="1">
        <f t="shared" si="47"/>
      </c>
      <c r="R30" s="1">
        <f t="shared" si="48"/>
      </c>
      <c r="S30" s="1">
        <f t="shared" si="49"/>
      </c>
      <c r="T30" s="1">
        <f t="shared" si="3"/>
      </c>
      <c r="U30" s="1">
        <f t="shared" si="4"/>
      </c>
      <c r="V30" s="1">
        <f t="shared" si="10"/>
      </c>
      <c r="W30" s="1">
        <f t="shared" si="11"/>
      </c>
      <c r="X30" s="1">
        <f t="shared" si="12"/>
      </c>
      <c r="Y30" s="1">
        <f t="shared" si="13"/>
      </c>
      <c r="Z30" s="1">
        <f t="shared" si="14"/>
      </c>
      <c r="AA30" s="1">
        <f t="shared" si="15"/>
      </c>
      <c r="AB30" s="1">
        <f t="shared" si="16"/>
      </c>
      <c r="AC30" s="1">
        <f t="shared" si="17"/>
      </c>
      <c r="AD30" s="1">
        <f t="shared" si="18"/>
      </c>
      <c r="AE30" s="1">
        <f t="shared" si="19"/>
      </c>
      <c r="AF30" s="1">
        <f t="shared" si="5"/>
      </c>
      <c r="AG30" s="1">
        <f t="shared" si="6"/>
      </c>
      <c r="AH30" s="1">
        <f t="shared" si="20"/>
      </c>
      <c r="AI30" s="1">
        <f t="shared" si="21"/>
      </c>
      <c r="AJ30" s="1">
        <f t="shared" si="22"/>
      </c>
      <c r="AK30" s="1">
        <f t="shared" si="23"/>
      </c>
      <c r="AL30" s="1">
        <f t="shared" si="24"/>
      </c>
      <c r="AM30" s="1">
        <f t="shared" si="25"/>
      </c>
      <c r="AN30" s="1">
        <f t="shared" si="26"/>
      </c>
      <c r="AO30" s="1">
        <f t="shared" si="27"/>
      </c>
      <c r="AP30" s="1">
        <f t="shared" si="28"/>
      </c>
      <c r="AQ30" s="1">
        <f t="shared" si="29"/>
      </c>
      <c r="AR30" s="1">
        <f t="shared" si="7"/>
      </c>
      <c r="AS30" s="1">
        <f t="shared" si="8"/>
      </c>
      <c r="AT30" s="1">
        <f t="shared" si="30"/>
      </c>
      <c r="AU30" s="1">
        <f t="shared" si="31"/>
      </c>
      <c r="AV30" s="1">
        <f t="shared" si="32"/>
      </c>
      <c r="AW30" s="1">
        <f t="shared" si="33"/>
      </c>
      <c r="AX30" s="1">
        <f t="shared" si="34"/>
      </c>
      <c r="AY30" s="1">
        <f t="shared" si="35"/>
      </c>
      <c r="AZ30" s="1">
        <f t="shared" si="36"/>
      </c>
      <c r="BA30" s="1">
        <f t="shared" si="37"/>
      </c>
      <c r="BB30" s="1">
        <f t="shared" si="38"/>
      </c>
      <c r="BC30" s="1">
        <f t="shared" si="39"/>
      </c>
    </row>
    <row r="31" spans="2:55" ht="11.25">
      <c r="B31" s="1">
        <f>IF(ChV="","",+Sbase-Bvtoc2*(Bvc2-ChV))</f>
      </c>
      <c r="E31" s="1">
        <f t="shared" si="9"/>
      </c>
      <c r="F31" s="1">
        <f t="shared" si="50"/>
      </c>
      <c r="H31" s="1">
        <f t="shared" si="1"/>
      </c>
      <c r="I31" s="1">
        <f t="shared" si="2"/>
      </c>
      <c r="J31" s="1">
        <f t="shared" si="40"/>
      </c>
      <c r="K31" s="1">
        <f t="shared" si="41"/>
      </c>
      <c r="L31" s="1">
        <f t="shared" si="42"/>
      </c>
      <c r="M31" s="1">
        <f t="shared" si="43"/>
      </c>
      <c r="N31" s="1">
        <f t="shared" si="44"/>
      </c>
      <c r="O31" s="1">
        <f t="shared" si="45"/>
      </c>
      <c r="P31" s="1">
        <f t="shared" si="46"/>
      </c>
      <c r="Q31" s="1">
        <f t="shared" si="47"/>
      </c>
      <c r="R31" s="1">
        <f t="shared" si="48"/>
      </c>
      <c r="S31" s="1">
        <f t="shared" si="49"/>
      </c>
      <c r="T31" s="1">
        <f t="shared" si="3"/>
      </c>
      <c r="U31" s="1">
        <f t="shared" si="4"/>
      </c>
      <c r="V31" s="1">
        <f t="shared" si="10"/>
      </c>
      <c r="W31" s="1">
        <f t="shared" si="11"/>
      </c>
      <c r="X31" s="1">
        <f t="shared" si="12"/>
      </c>
      <c r="Y31" s="1">
        <f t="shared" si="13"/>
      </c>
      <c r="Z31" s="1">
        <f t="shared" si="14"/>
      </c>
      <c r="AA31" s="1">
        <f t="shared" si="15"/>
      </c>
      <c r="AB31" s="1">
        <f t="shared" si="16"/>
      </c>
      <c r="AC31" s="1">
        <f t="shared" si="17"/>
      </c>
      <c r="AD31" s="1">
        <f t="shared" si="18"/>
      </c>
      <c r="AE31" s="1">
        <f t="shared" si="19"/>
      </c>
      <c r="AF31" s="1">
        <f t="shared" si="5"/>
      </c>
      <c r="AG31" s="1">
        <f t="shared" si="6"/>
      </c>
      <c r="AH31" s="1">
        <f t="shared" si="20"/>
      </c>
      <c r="AI31" s="1">
        <f t="shared" si="21"/>
      </c>
      <c r="AJ31" s="1">
        <f t="shared" si="22"/>
      </c>
      <c r="AK31" s="1">
        <f t="shared" si="23"/>
      </c>
      <c r="AL31" s="1">
        <f t="shared" si="24"/>
      </c>
      <c r="AM31" s="1">
        <f t="shared" si="25"/>
      </c>
      <c r="AN31" s="1">
        <f t="shared" si="26"/>
      </c>
      <c r="AO31" s="1">
        <f t="shared" si="27"/>
      </c>
      <c r="AP31" s="1">
        <f t="shared" si="28"/>
      </c>
      <c r="AQ31" s="1">
        <f t="shared" si="29"/>
      </c>
      <c r="AR31" s="1">
        <f t="shared" si="7"/>
      </c>
      <c r="AS31" s="1">
        <f t="shared" si="8"/>
      </c>
      <c r="AT31" s="1">
        <f t="shared" si="30"/>
      </c>
      <c r="AU31" s="1">
        <f t="shared" si="31"/>
      </c>
      <c r="AV31" s="1">
        <f t="shared" si="32"/>
      </c>
      <c r="AW31" s="1">
        <f t="shared" si="33"/>
      </c>
      <c r="AX31" s="1">
        <f t="shared" si="34"/>
      </c>
      <c r="AY31" s="1">
        <f t="shared" si="35"/>
      </c>
      <c r="AZ31" s="1">
        <f t="shared" si="36"/>
      </c>
      <c r="BA31" s="1">
        <f t="shared" si="37"/>
      </c>
      <c r="BB31" s="1">
        <f t="shared" si="38"/>
      </c>
      <c r="BC31" s="1">
        <f t="shared" si="39"/>
      </c>
    </row>
    <row r="32" spans="2:55" ht="11.25">
      <c r="B32" s="1">
        <f>IF(ChV="","",+Sbase-Bvtoc2*(Bvc2-ChV))</f>
      </c>
      <c r="E32" s="1">
        <f t="shared" si="9"/>
      </c>
      <c r="F32" s="1">
        <f t="shared" si="50"/>
      </c>
      <c r="H32" s="1">
        <f t="shared" si="1"/>
      </c>
      <c r="I32" s="1">
        <f t="shared" si="2"/>
      </c>
      <c r="J32" s="1">
        <f t="shared" si="40"/>
      </c>
      <c r="K32" s="1">
        <f t="shared" si="41"/>
      </c>
      <c r="L32" s="1">
        <f t="shared" si="42"/>
      </c>
      <c r="M32" s="1">
        <f t="shared" si="43"/>
      </c>
      <c r="N32" s="1">
        <f t="shared" si="44"/>
      </c>
      <c r="O32" s="1">
        <f t="shared" si="45"/>
      </c>
      <c r="P32" s="1">
        <f t="shared" si="46"/>
      </c>
      <c r="Q32" s="1">
        <f t="shared" si="47"/>
      </c>
      <c r="R32" s="1">
        <f t="shared" si="48"/>
      </c>
      <c r="S32" s="1">
        <f t="shared" si="49"/>
      </c>
      <c r="T32" s="1">
        <f t="shared" si="3"/>
      </c>
      <c r="U32" s="1">
        <f t="shared" si="4"/>
      </c>
      <c r="V32" s="1">
        <f t="shared" si="10"/>
      </c>
      <c r="W32" s="1">
        <f t="shared" si="11"/>
      </c>
      <c r="X32" s="1">
        <f t="shared" si="12"/>
      </c>
      <c r="Y32" s="1">
        <f t="shared" si="13"/>
      </c>
      <c r="Z32" s="1">
        <f t="shared" si="14"/>
      </c>
      <c r="AA32" s="1">
        <f t="shared" si="15"/>
      </c>
      <c r="AB32" s="1">
        <f t="shared" si="16"/>
      </c>
      <c r="AC32" s="1">
        <f t="shared" si="17"/>
      </c>
      <c r="AD32" s="1">
        <f t="shared" si="18"/>
      </c>
      <c r="AE32" s="1">
        <f t="shared" si="19"/>
      </c>
      <c r="AF32" s="1">
        <f t="shared" si="5"/>
      </c>
      <c r="AG32" s="1">
        <f t="shared" si="6"/>
      </c>
      <c r="AH32" s="1">
        <f t="shared" si="20"/>
      </c>
      <c r="AI32" s="1">
        <f t="shared" si="21"/>
      </c>
      <c r="AJ32" s="1">
        <f t="shared" si="22"/>
      </c>
      <c r="AK32" s="1">
        <f t="shared" si="23"/>
      </c>
      <c r="AL32" s="1">
        <f t="shared" si="24"/>
      </c>
      <c r="AM32" s="1">
        <f t="shared" si="25"/>
      </c>
      <c r="AN32" s="1">
        <f t="shared" si="26"/>
      </c>
      <c r="AO32" s="1">
        <f t="shared" si="27"/>
      </c>
      <c r="AP32" s="1">
        <f t="shared" si="28"/>
      </c>
      <c r="AQ32" s="1">
        <f t="shared" si="29"/>
      </c>
      <c r="AR32" s="1">
        <f t="shared" si="7"/>
      </c>
      <c r="AS32" s="1">
        <f t="shared" si="8"/>
      </c>
      <c r="AT32" s="1">
        <f t="shared" si="30"/>
      </c>
      <c r="AU32" s="1">
        <f t="shared" si="31"/>
      </c>
      <c r="AV32" s="1">
        <f t="shared" si="32"/>
      </c>
      <c r="AW32" s="1">
        <f t="shared" si="33"/>
      </c>
      <c r="AX32" s="1">
        <f t="shared" si="34"/>
      </c>
      <c r="AY32" s="1">
        <f t="shared" si="35"/>
      </c>
      <c r="AZ32" s="1">
        <f t="shared" si="36"/>
      </c>
      <c r="BA32" s="1">
        <f t="shared" si="37"/>
      </c>
      <c r="BB32" s="1">
        <f t="shared" si="38"/>
      </c>
      <c r="BC32" s="1">
        <f t="shared" si="39"/>
      </c>
    </row>
    <row r="33" spans="2:55" ht="11.25">
      <c r="B33" s="1">
        <f>IF(ChV="","",+Sbase-Bvtoc2*(Bvc2-ChV))</f>
      </c>
      <c r="E33" s="1">
        <f t="shared" si="9"/>
      </c>
      <c r="F33" s="1">
        <f t="shared" si="50"/>
      </c>
      <c r="H33" s="1">
        <f t="shared" si="1"/>
      </c>
      <c r="I33" s="1">
        <f t="shared" si="2"/>
      </c>
      <c r="J33" s="1">
        <f t="shared" si="40"/>
      </c>
      <c r="K33" s="1">
        <f t="shared" si="41"/>
      </c>
      <c r="L33" s="1">
        <f t="shared" si="42"/>
      </c>
      <c r="M33" s="1">
        <f t="shared" si="43"/>
      </c>
      <c r="N33" s="1">
        <f t="shared" si="44"/>
      </c>
      <c r="O33" s="1">
        <f t="shared" si="45"/>
      </c>
      <c r="P33" s="1">
        <f t="shared" si="46"/>
      </c>
      <c r="Q33" s="1">
        <f t="shared" si="47"/>
      </c>
      <c r="R33" s="1">
        <f t="shared" si="48"/>
      </c>
      <c r="S33" s="1">
        <f t="shared" si="49"/>
      </c>
      <c r="T33" s="1">
        <f t="shared" si="3"/>
      </c>
      <c r="U33" s="1">
        <f t="shared" si="4"/>
      </c>
      <c r="V33" s="1">
        <f t="shared" si="10"/>
      </c>
      <c r="W33" s="1">
        <f t="shared" si="11"/>
      </c>
      <c r="X33" s="1">
        <f t="shared" si="12"/>
      </c>
      <c r="Y33" s="1">
        <f t="shared" si="13"/>
      </c>
      <c r="Z33" s="1">
        <f t="shared" si="14"/>
      </c>
      <c r="AA33" s="1">
        <f t="shared" si="15"/>
      </c>
      <c r="AB33" s="1">
        <f t="shared" si="16"/>
      </c>
      <c r="AC33" s="1">
        <f t="shared" si="17"/>
      </c>
      <c r="AD33" s="1">
        <f t="shared" si="18"/>
      </c>
      <c r="AE33" s="1">
        <f t="shared" si="19"/>
      </c>
      <c r="AF33" s="1">
        <f t="shared" si="5"/>
      </c>
      <c r="AG33" s="1">
        <f t="shared" si="6"/>
      </c>
      <c r="AH33" s="1">
        <f t="shared" si="20"/>
      </c>
      <c r="AI33" s="1">
        <f t="shared" si="21"/>
      </c>
      <c r="AJ33" s="1">
        <f t="shared" si="22"/>
      </c>
      <c r="AK33" s="1">
        <f t="shared" si="23"/>
      </c>
      <c r="AL33" s="1">
        <f t="shared" si="24"/>
      </c>
      <c r="AM33" s="1">
        <f t="shared" si="25"/>
      </c>
      <c r="AN33" s="1">
        <f t="shared" si="26"/>
      </c>
      <c r="AO33" s="1">
        <f t="shared" si="27"/>
      </c>
      <c r="AP33" s="1">
        <f t="shared" si="28"/>
      </c>
      <c r="AQ33" s="1">
        <f t="shared" si="29"/>
      </c>
      <c r="AR33" s="1">
        <f t="shared" si="7"/>
      </c>
      <c r="AS33" s="1">
        <f t="shared" si="8"/>
      </c>
      <c r="AT33" s="1">
        <f t="shared" si="30"/>
      </c>
      <c r="AU33" s="1">
        <f t="shared" si="31"/>
      </c>
      <c r="AV33" s="1">
        <f t="shared" si="32"/>
      </c>
      <c r="AW33" s="1">
        <f t="shared" si="33"/>
      </c>
      <c r="AX33" s="1">
        <f t="shared" si="34"/>
      </c>
      <c r="AY33" s="1">
        <f t="shared" si="35"/>
      </c>
      <c r="AZ33" s="1">
        <f t="shared" si="36"/>
      </c>
      <c r="BA33" s="1">
        <f t="shared" si="37"/>
      </c>
      <c r="BB33" s="1">
        <f t="shared" si="38"/>
      </c>
      <c r="BC33" s="1">
        <f t="shared" si="39"/>
      </c>
    </row>
    <row r="34" spans="2:55" ht="11.25">
      <c r="B34" s="1">
        <f>IF(ChV="","",+Sbase-Bvtoc3*(Bvc3-ChV))</f>
        <v>-0.06730999999999965</v>
      </c>
      <c r="E34" s="1">
        <f t="shared" si="9"/>
      </c>
      <c r="F34" s="1">
        <f t="shared" si="50"/>
      </c>
      <c r="H34" s="1">
        <f t="shared" si="1"/>
      </c>
      <c r="I34" s="1">
        <f t="shared" si="2"/>
      </c>
      <c r="J34" s="1">
        <f t="shared" si="40"/>
      </c>
      <c r="K34" s="1">
        <f t="shared" si="41"/>
      </c>
      <c r="L34" s="1">
        <f t="shared" si="42"/>
      </c>
      <c r="M34" s="1">
        <f t="shared" si="43"/>
      </c>
      <c r="N34" s="1">
        <f t="shared" si="44"/>
      </c>
      <c r="O34" s="1">
        <f t="shared" si="45"/>
      </c>
      <c r="P34" s="1">
        <f t="shared" si="46"/>
      </c>
      <c r="Q34" s="1">
        <f t="shared" si="47"/>
      </c>
      <c r="R34" s="1">
        <f t="shared" si="48"/>
      </c>
      <c r="S34" s="1">
        <f t="shared" si="49"/>
      </c>
      <c r="T34" s="1">
        <f t="shared" si="3"/>
      </c>
      <c r="U34" s="1">
        <f t="shared" si="4"/>
      </c>
      <c r="V34" s="1">
        <f t="shared" si="10"/>
      </c>
      <c r="W34" s="1">
        <f t="shared" si="11"/>
      </c>
      <c r="X34" s="1">
        <f t="shared" si="12"/>
      </c>
      <c r="Y34" s="1">
        <f t="shared" si="13"/>
      </c>
      <c r="Z34" s="1">
        <f t="shared" si="14"/>
      </c>
      <c r="AA34" s="1">
        <f t="shared" si="15"/>
      </c>
      <c r="AB34" s="1">
        <f t="shared" si="16"/>
      </c>
      <c r="AC34" s="1">
        <f t="shared" si="17"/>
      </c>
      <c r="AD34" s="1">
        <f t="shared" si="18"/>
      </c>
      <c r="AE34" s="1">
        <f t="shared" si="19"/>
      </c>
      <c r="AF34" s="1">
        <f t="shared" si="5"/>
      </c>
      <c r="AG34" s="1">
        <f t="shared" si="6"/>
      </c>
      <c r="AH34" s="1">
        <f t="shared" si="20"/>
      </c>
      <c r="AI34" s="1">
        <f t="shared" si="21"/>
      </c>
      <c r="AJ34" s="1">
        <f t="shared" si="22"/>
      </c>
      <c r="AK34" s="1">
        <f t="shared" si="23"/>
      </c>
      <c r="AL34" s="1">
        <f t="shared" si="24"/>
      </c>
      <c r="AM34" s="1">
        <f t="shared" si="25"/>
      </c>
      <c r="AN34" s="1">
        <f t="shared" si="26"/>
      </c>
      <c r="AO34" s="1">
        <f t="shared" si="27"/>
      </c>
      <c r="AP34" s="1">
        <f t="shared" si="28"/>
      </c>
      <c r="AQ34" s="1">
        <f t="shared" si="29"/>
      </c>
      <c r="AR34" s="1">
        <f t="shared" si="7"/>
      </c>
      <c r="AS34" s="1">
        <f t="shared" si="8"/>
      </c>
      <c r="AT34" s="1">
        <f t="shared" si="30"/>
      </c>
      <c r="AU34" s="1">
        <f t="shared" si="31"/>
      </c>
      <c r="AV34" s="1">
        <f t="shared" si="32"/>
      </c>
      <c r="AW34" s="1">
        <f t="shared" si="33"/>
      </c>
      <c r="AX34" s="1">
        <f t="shared" si="34"/>
      </c>
      <c r="AY34" s="1">
        <f t="shared" si="35"/>
      </c>
      <c r="AZ34" s="1">
        <f t="shared" si="36"/>
      </c>
      <c r="BA34" s="1">
        <f t="shared" si="37"/>
      </c>
      <c r="BB34" s="1">
        <f t="shared" si="38"/>
      </c>
      <c r="BC34" s="1">
        <f t="shared" si="39"/>
      </c>
    </row>
    <row r="35" spans="2:55" ht="11.25">
      <c r="B35" s="1">
        <f>IF(ChV="","",+Sbase-Bvtoc3*(Bvc3-ChV))</f>
        <v>-0.45830999999999966</v>
      </c>
      <c r="E35" s="5">
        <f t="shared" si="9"/>
      </c>
      <c r="F35" s="5">
        <f t="shared" si="50"/>
      </c>
      <c r="H35" s="1">
        <f t="shared" si="1"/>
      </c>
      <c r="I35" s="1">
        <f t="shared" si="2"/>
      </c>
      <c r="J35" s="1">
        <f t="shared" si="40"/>
      </c>
      <c r="K35" s="1">
        <f t="shared" si="41"/>
      </c>
      <c r="L35" s="1">
        <f t="shared" si="42"/>
      </c>
      <c r="M35" s="1">
        <f t="shared" si="43"/>
      </c>
      <c r="N35" s="1">
        <f t="shared" si="44"/>
      </c>
      <c r="O35" s="1">
        <f t="shared" si="45"/>
      </c>
      <c r="P35" s="1">
        <f t="shared" si="46"/>
      </c>
      <c r="Q35" s="1">
        <f t="shared" si="47"/>
      </c>
      <c r="R35" s="1">
        <f t="shared" si="48"/>
      </c>
      <c r="S35" s="1">
        <f t="shared" si="49"/>
      </c>
      <c r="T35" s="1">
        <f t="shared" si="3"/>
      </c>
      <c r="U35" s="1">
        <f t="shared" si="4"/>
      </c>
      <c r="V35" s="1">
        <f t="shared" si="10"/>
      </c>
      <c r="W35" s="1">
        <f t="shared" si="11"/>
      </c>
      <c r="X35" s="1">
        <f t="shared" si="12"/>
      </c>
      <c r="Y35" s="1">
        <f t="shared" si="13"/>
      </c>
      <c r="Z35" s="1">
        <f t="shared" si="14"/>
      </c>
      <c r="AA35" s="1">
        <f t="shared" si="15"/>
      </c>
      <c r="AB35" s="1">
        <f t="shared" si="16"/>
      </c>
      <c r="AC35" s="1">
        <f t="shared" si="17"/>
      </c>
      <c r="AD35" s="1">
        <f t="shared" si="18"/>
      </c>
      <c r="AE35" s="1">
        <f t="shared" si="19"/>
      </c>
      <c r="AF35" s="1">
        <f t="shared" si="5"/>
      </c>
      <c r="AG35" s="1">
        <f t="shared" si="6"/>
      </c>
      <c r="AH35" s="1">
        <f t="shared" si="20"/>
      </c>
      <c r="AI35" s="1">
        <f t="shared" si="21"/>
      </c>
      <c r="AJ35" s="1">
        <f t="shared" si="22"/>
      </c>
      <c r="AK35" s="1">
        <f t="shared" si="23"/>
      </c>
      <c r="AL35" s="1">
        <f t="shared" si="24"/>
      </c>
      <c r="AM35" s="1">
        <f t="shared" si="25"/>
      </c>
      <c r="AN35" s="1">
        <f t="shared" si="26"/>
      </c>
      <c r="AO35" s="1">
        <f t="shared" si="27"/>
      </c>
      <c r="AP35" s="1">
        <f t="shared" si="28"/>
      </c>
      <c r="AQ35" s="1">
        <f t="shared" si="29"/>
      </c>
      <c r="AR35" s="1">
        <f t="shared" si="7"/>
      </c>
      <c r="AS35" s="1">
        <f t="shared" si="8"/>
      </c>
      <c r="AT35" s="1">
        <f t="shared" si="30"/>
      </c>
      <c r="AU35" s="1">
        <f t="shared" si="31"/>
      </c>
      <c r="AV35" s="1">
        <f t="shared" si="32"/>
      </c>
      <c r="AW35" s="1">
        <f t="shared" si="33"/>
      </c>
      <c r="AX35" s="1">
        <f t="shared" si="34"/>
      </c>
      <c r="AY35" s="1">
        <f t="shared" si="35"/>
      </c>
      <c r="AZ35" s="1">
        <f t="shared" si="36"/>
      </c>
      <c r="BA35" s="1">
        <f t="shared" si="37"/>
      </c>
      <c r="BB35" s="1">
        <f t="shared" si="38"/>
      </c>
      <c r="BC35" s="1">
        <f t="shared" si="39"/>
      </c>
    </row>
    <row r="36" spans="2:55" ht="11.25">
      <c r="B36" s="1">
        <f>IF(ChV="","",+Sbase-Bvtoc3*(Bvc3-ChV))</f>
      </c>
      <c r="H36" s="1">
        <f t="shared" si="1"/>
      </c>
      <c r="I36" s="1">
        <f t="shared" si="2"/>
      </c>
      <c r="J36" s="1">
        <f t="shared" si="40"/>
      </c>
      <c r="K36" s="1">
        <f t="shared" si="41"/>
      </c>
      <c r="L36" s="1">
        <f t="shared" si="42"/>
      </c>
      <c r="M36" s="1">
        <f t="shared" si="43"/>
      </c>
      <c r="N36" s="1">
        <f t="shared" si="44"/>
      </c>
      <c r="O36" s="1">
        <f t="shared" si="45"/>
      </c>
      <c r="P36" s="1">
        <f t="shared" si="46"/>
      </c>
      <c r="Q36" s="1">
        <f t="shared" si="47"/>
      </c>
      <c r="R36" s="1">
        <f t="shared" si="48"/>
      </c>
      <c r="S36" s="1">
        <f t="shared" si="49"/>
      </c>
      <c r="T36" s="1">
        <f t="shared" si="3"/>
      </c>
      <c r="U36" s="1">
        <f t="shared" si="4"/>
      </c>
      <c r="V36" s="1">
        <f t="shared" si="10"/>
      </c>
      <c r="W36" s="1">
        <f t="shared" si="11"/>
      </c>
      <c r="X36" s="1">
        <f t="shared" si="12"/>
      </c>
      <c r="Y36" s="1">
        <f t="shared" si="13"/>
      </c>
      <c r="Z36" s="1">
        <f t="shared" si="14"/>
      </c>
      <c r="AA36" s="1">
        <f t="shared" si="15"/>
      </c>
      <c r="AB36" s="1">
        <f t="shared" si="16"/>
      </c>
      <c r="AC36" s="1">
        <f t="shared" si="17"/>
      </c>
      <c r="AD36" s="1">
        <f t="shared" si="18"/>
      </c>
      <c r="AE36" s="1">
        <f t="shared" si="19"/>
      </c>
      <c r="AF36" s="1">
        <f t="shared" si="5"/>
      </c>
      <c r="AG36" s="1">
        <f t="shared" si="6"/>
      </c>
      <c r="AH36" s="1">
        <f t="shared" si="20"/>
      </c>
      <c r="AI36" s="1">
        <f t="shared" si="21"/>
      </c>
      <c r="AJ36" s="1">
        <f t="shared" si="22"/>
      </c>
      <c r="AK36" s="1">
        <f t="shared" si="23"/>
      </c>
      <c r="AL36" s="1">
        <f t="shared" si="24"/>
      </c>
      <c r="AM36" s="1">
        <f t="shared" si="25"/>
      </c>
      <c r="AN36" s="1">
        <f t="shared" si="26"/>
      </c>
      <c r="AO36" s="1">
        <f t="shared" si="27"/>
      </c>
      <c r="AP36" s="1">
        <f t="shared" si="28"/>
      </c>
      <c r="AQ36" s="1">
        <f t="shared" si="29"/>
      </c>
      <c r="AR36" s="1">
        <f t="shared" si="7"/>
      </c>
      <c r="AS36" s="1">
        <f t="shared" si="8"/>
      </c>
      <c r="AT36" s="1">
        <f t="shared" si="30"/>
      </c>
      <c r="AU36" s="1">
        <f t="shared" si="31"/>
      </c>
      <c r="AV36" s="1">
        <f t="shared" si="32"/>
      </c>
      <c r="AW36" s="1">
        <f t="shared" si="33"/>
      </c>
      <c r="AX36" s="1">
        <f t="shared" si="34"/>
      </c>
      <c r="AY36" s="1">
        <f t="shared" si="35"/>
      </c>
      <c r="AZ36" s="1">
        <f t="shared" si="36"/>
      </c>
      <c r="BA36" s="1">
        <f t="shared" si="37"/>
      </c>
      <c r="BB36" s="1">
        <f t="shared" si="38"/>
      </c>
      <c r="BC36" s="1">
        <f t="shared" si="39"/>
      </c>
    </row>
    <row r="37" spans="2:55" ht="11.25">
      <c r="B37" s="1">
        <f>IF(ChV="","",+Sbase-Bvtoc3*(Bvc3-ChV))</f>
      </c>
      <c r="H37" s="1">
        <f t="shared" si="1"/>
      </c>
      <c r="I37" s="1">
        <f t="shared" si="2"/>
      </c>
      <c r="J37" s="1">
        <f t="shared" si="40"/>
      </c>
      <c r="K37" s="1">
        <f t="shared" si="41"/>
      </c>
      <c r="L37" s="1">
        <f t="shared" si="42"/>
      </c>
      <c r="M37" s="1">
        <f t="shared" si="43"/>
      </c>
      <c r="N37" s="1">
        <f t="shared" si="44"/>
      </c>
      <c r="O37" s="1">
        <f t="shared" si="45"/>
      </c>
      <c r="P37" s="1">
        <f t="shared" si="46"/>
      </c>
      <c r="Q37" s="1">
        <f t="shared" si="47"/>
      </c>
      <c r="R37" s="1">
        <f t="shared" si="48"/>
      </c>
      <c r="S37" s="1">
        <f t="shared" si="49"/>
      </c>
      <c r="T37" s="1">
        <f t="shared" si="3"/>
      </c>
      <c r="U37" s="1">
        <f t="shared" si="4"/>
      </c>
      <c r="V37" s="1">
        <f t="shared" si="10"/>
      </c>
      <c r="W37" s="1">
        <f t="shared" si="11"/>
      </c>
      <c r="X37" s="1">
        <f t="shared" si="12"/>
      </c>
      <c r="Y37" s="1">
        <f t="shared" si="13"/>
      </c>
      <c r="Z37" s="1">
        <f t="shared" si="14"/>
      </c>
      <c r="AA37" s="1">
        <f t="shared" si="15"/>
      </c>
      <c r="AB37" s="1">
        <f t="shared" si="16"/>
      </c>
      <c r="AC37" s="1">
        <f t="shared" si="17"/>
      </c>
      <c r="AD37" s="1">
        <f t="shared" si="18"/>
      </c>
      <c r="AE37" s="1">
        <f t="shared" si="19"/>
      </c>
      <c r="AF37" s="1">
        <f t="shared" si="5"/>
      </c>
      <c r="AG37" s="1">
        <f t="shared" si="6"/>
      </c>
      <c r="AH37" s="1">
        <f t="shared" si="20"/>
      </c>
      <c r="AI37" s="1">
        <f t="shared" si="21"/>
      </c>
      <c r="AJ37" s="1">
        <f t="shared" si="22"/>
      </c>
      <c r="AK37" s="1">
        <f t="shared" si="23"/>
      </c>
      <c r="AL37" s="1">
        <f t="shared" si="24"/>
      </c>
      <c r="AM37" s="1">
        <f t="shared" si="25"/>
      </c>
      <c r="AN37" s="1">
        <f t="shared" si="26"/>
      </c>
      <c r="AO37" s="1">
        <f t="shared" si="27"/>
      </c>
      <c r="AP37" s="1">
        <f t="shared" si="28"/>
      </c>
      <c r="AQ37" s="1">
        <f t="shared" si="29"/>
      </c>
      <c r="AR37" s="1">
        <f t="shared" si="7"/>
      </c>
      <c r="AS37" s="1">
        <f t="shared" si="8"/>
      </c>
      <c r="AT37" s="1">
        <f t="shared" si="30"/>
      </c>
      <c r="AU37" s="1">
        <f t="shared" si="31"/>
      </c>
      <c r="AV37" s="1">
        <f t="shared" si="32"/>
      </c>
      <c r="AW37" s="1">
        <f t="shared" si="33"/>
      </c>
      <c r="AX37" s="1">
        <f t="shared" si="34"/>
      </c>
      <c r="AY37" s="1">
        <f t="shared" si="35"/>
      </c>
      <c r="AZ37" s="1">
        <f t="shared" si="36"/>
      </c>
      <c r="BA37" s="1">
        <f t="shared" si="37"/>
      </c>
      <c r="BB37" s="1">
        <f t="shared" si="38"/>
      </c>
      <c r="BC37" s="1">
        <f t="shared" si="39"/>
      </c>
    </row>
    <row r="38" spans="2:55" ht="11.25">
      <c r="B38" s="5">
        <f>IF(ChV="","",+Sbase-Bvtoc3*(Bvc3-ChV))</f>
      </c>
      <c r="C38" s="5"/>
      <c r="H38" s="1">
        <f t="shared" si="1"/>
      </c>
      <c r="I38" s="1">
        <f t="shared" si="2"/>
      </c>
      <c r="J38" s="1">
        <f t="shared" si="40"/>
      </c>
      <c r="K38" s="1">
        <f t="shared" si="41"/>
      </c>
      <c r="L38" s="1">
        <f t="shared" si="42"/>
      </c>
      <c r="M38" s="1">
        <f t="shared" si="43"/>
      </c>
      <c r="N38" s="1">
        <f t="shared" si="44"/>
      </c>
      <c r="O38" s="1">
        <f t="shared" si="45"/>
      </c>
      <c r="P38" s="1">
        <f t="shared" si="46"/>
      </c>
      <c r="Q38" s="1">
        <f t="shared" si="47"/>
      </c>
      <c r="R38" s="1">
        <f t="shared" si="48"/>
      </c>
      <c r="S38" s="1">
        <f t="shared" si="49"/>
      </c>
      <c r="T38" s="1">
        <f t="shared" si="3"/>
      </c>
      <c r="U38" s="1">
        <f t="shared" si="4"/>
      </c>
      <c r="V38" s="1">
        <f t="shared" si="10"/>
      </c>
      <c r="W38" s="1">
        <f t="shared" si="11"/>
      </c>
      <c r="X38" s="1">
        <f t="shared" si="12"/>
      </c>
      <c r="Y38" s="1">
        <f t="shared" si="13"/>
      </c>
      <c r="Z38" s="1">
        <f t="shared" si="14"/>
      </c>
      <c r="AA38" s="1">
        <f t="shared" si="15"/>
      </c>
      <c r="AB38" s="1">
        <f t="shared" si="16"/>
      </c>
      <c r="AC38" s="1">
        <f t="shared" si="17"/>
      </c>
      <c r="AD38" s="1">
        <f t="shared" si="18"/>
      </c>
      <c r="AE38" s="1">
        <f t="shared" si="19"/>
      </c>
      <c r="AF38" s="1">
        <f t="shared" si="5"/>
      </c>
      <c r="AG38" s="1">
        <f t="shared" si="6"/>
      </c>
      <c r="AH38" s="1">
        <f t="shared" si="20"/>
      </c>
      <c r="AI38" s="1">
        <f t="shared" si="21"/>
      </c>
      <c r="AJ38" s="1">
        <f t="shared" si="22"/>
      </c>
      <c r="AK38" s="1">
        <f t="shared" si="23"/>
      </c>
      <c r="AL38" s="1">
        <f t="shared" si="24"/>
      </c>
      <c r="AM38" s="1">
        <f t="shared" si="25"/>
      </c>
      <c r="AN38" s="1">
        <f t="shared" si="26"/>
      </c>
      <c r="AO38" s="1">
        <f t="shared" si="27"/>
      </c>
      <c r="AP38" s="1">
        <f t="shared" si="28"/>
      </c>
      <c r="AQ38" s="1">
        <f t="shared" si="29"/>
      </c>
      <c r="AR38" s="1">
        <f t="shared" si="7"/>
      </c>
      <c r="AS38" s="1">
        <f t="shared" si="8"/>
      </c>
      <c r="AT38" s="1">
        <f t="shared" si="30"/>
      </c>
      <c r="AU38" s="1">
        <f t="shared" si="31"/>
      </c>
      <c r="AV38" s="1">
        <f t="shared" si="32"/>
      </c>
      <c r="AW38" s="1">
        <f t="shared" si="33"/>
      </c>
      <c r="AX38" s="1">
        <f t="shared" si="34"/>
      </c>
      <c r="AY38" s="1">
        <f t="shared" si="35"/>
      </c>
      <c r="AZ38" s="1">
        <f t="shared" si="36"/>
      </c>
      <c r="BA38" s="1">
        <f t="shared" si="37"/>
      </c>
      <c r="BB38" s="1">
        <f t="shared" si="38"/>
      </c>
      <c r="BC38" s="1">
        <f t="shared" si="39"/>
      </c>
    </row>
    <row r="39" spans="8:55" ht="11.25">
      <c r="H39" s="1">
        <f t="shared" si="1"/>
      </c>
      <c r="I39" s="1">
        <f t="shared" si="2"/>
      </c>
      <c r="J39" s="1">
        <f t="shared" si="40"/>
      </c>
      <c r="K39" s="1">
        <f t="shared" si="41"/>
      </c>
      <c r="L39" s="1">
        <f t="shared" si="42"/>
      </c>
      <c r="M39" s="1">
        <f t="shared" si="43"/>
      </c>
      <c r="N39" s="1">
        <f t="shared" si="44"/>
      </c>
      <c r="O39" s="1">
        <f t="shared" si="45"/>
      </c>
      <c r="P39" s="1">
        <f t="shared" si="46"/>
      </c>
      <c r="Q39" s="1">
        <f t="shared" si="47"/>
      </c>
      <c r="R39" s="1">
        <f t="shared" si="48"/>
      </c>
      <c r="S39" s="1">
        <f t="shared" si="49"/>
      </c>
      <c r="T39" s="1">
        <f t="shared" si="3"/>
      </c>
      <c r="U39" s="1">
        <f t="shared" si="4"/>
      </c>
      <c r="V39" s="1">
        <f t="shared" si="10"/>
      </c>
      <c r="W39" s="1">
        <f t="shared" si="11"/>
      </c>
      <c r="X39" s="1">
        <f t="shared" si="12"/>
      </c>
      <c r="Y39" s="1">
        <f t="shared" si="13"/>
      </c>
      <c r="Z39" s="1">
        <f t="shared" si="14"/>
      </c>
      <c r="AA39" s="1">
        <f t="shared" si="15"/>
      </c>
      <c r="AB39" s="1">
        <f t="shared" si="16"/>
      </c>
      <c r="AC39" s="1">
        <f t="shared" si="17"/>
      </c>
      <c r="AD39" s="1">
        <f t="shared" si="18"/>
      </c>
      <c r="AE39" s="1">
        <f t="shared" si="19"/>
      </c>
      <c r="AF39" s="1">
        <f t="shared" si="5"/>
      </c>
      <c r="AG39" s="1">
        <f t="shared" si="6"/>
      </c>
      <c r="AH39" s="1">
        <f t="shared" si="20"/>
      </c>
      <c r="AI39" s="1">
        <f t="shared" si="21"/>
      </c>
      <c r="AJ39" s="1">
        <f t="shared" si="22"/>
      </c>
      <c r="AK39" s="1">
        <f t="shared" si="23"/>
      </c>
      <c r="AL39" s="1">
        <f t="shared" si="24"/>
      </c>
      <c r="AM39" s="1">
        <f t="shared" si="25"/>
      </c>
      <c r="AN39" s="1">
        <f t="shared" si="26"/>
      </c>
      <c r="AO39" s="1">
        <f t="shared" si="27"/>
      </c>
      <c r="AP39" s="1">
        <f t="shared" si="28"/>
      </c>
      <c r="AQ39" s="1">
        <f t="shared" si="29"/>
      </c>
      <c r="AR39" s="1">
        <f t="shared" si="7"/>
      </c>
      <c r="AS39" s="1">
        <f t="shared" si="8"/>
      </c>
      <c r="AT39" s="1">
        <f t="shared" si="30"/>
      </c>
      <c r="AU39" s="1">
        <f t="shared" si="31"/>
      </c>
      <c r="AV39" s="1">
        <f t="shared" si="32"/>
      </c>
      <c r="AW39" s="1">
        <f t="shared" si="33"/>
      </c>
      <c r="AX39" s="1">
        <f t="shared" si="34"/>
      </c>
      <c r="AY39" s="1">
        <f t="shared" si="35"/>
      </c>
      <c r="AZ39" s="1">
        <f t="shared" si="36"/>
      </c>
      <c r="BA39" s="1">
        <f t="shared" si="37"/>
      </c>
      <c r="BB39" s="1">
        <f t="shared" si="38"/>
      </c>
      <c r="BC39" s="1">
        <f t="shared" si="39"/>
      </c>
    </row>
    <row r="40" spans="8:55" ht="11.25">
      <c r="H40" s="1">
        <f t="shared" si="1"/>
      </c>
      <c r="I40" s="1">
        <f t="shared" si="2"/>
      </c>
      <c r="J40" s="1">
        <f t="shared" si="40"/>
      </c>
      <c r="K40" s="1">
        <f t="shared" si="41"/>
      </c>
      <c r="L40" s="1">
        <f t="shared" si="42"/>
      </c>
      <c r="M40" s="1">
        <f t="shared" si="43"/>
      </c>
      <c r="N40" s="1">
        <f t="shared" si="44"/>
      </c>
      <c r="O40" s="1">
        <f t="shared" si="45"/>
      </c>
      <c r="P40" s="1">
        <f t="shared" si="46"/>
      </c>
      <c r="Q40" s="1">
        <f t="shared" si="47"/>
      </c>
      <c r="R40" s="1">
        <f t="shared" si="48"/>
      </c>
      <c r="S40" s="1">
        <f t="shared" si="49"/>
      </c>
      <c r="T40" s="1">
        <f t="shared" si="3"/>
      </c>
      <c r="U40" s="1">
        <f t="shared" si="4"/>
      </c>
      <c r="V40" s="1">
        <f t="shared" si="10"/>
      </c>
      <c r="W40" s="1">
        <f t="shared" si="11"/>
      </c>
      <c r="X40" s="1">
        <f t="shared" si="12"/>
      </c>
      <c r="Y40" s="1">
        <f t="shared" si="13"/>
      </c>
      <c r="Z40" s="1">
        <f t="shared" si="14"/>
      </c>
      <c r="AA40" s="1">
        <f t="shared" si="15"/>
      </c>
      <c r="AB40" s="1">
        <f t="shared" si="16"/>
      </c>
      <c r="AC40" s="1">
        <f t="shared" si="17"/>
      </c>
      <c r="AD40" s="1">
        <f t="shared" si="18"/>
      </c>
      <c r="AE40" s="1">
        <f t="shared" si="19"/>
      </c>
      <c r="AF40" s="1">
        <f t="shared" si="5"/>
      </c>
      <c r="AG40" s="1">
        <f t="shared" si="6"/>
      </c>
      <c r="AH40" s="1">
        <f t="shared" si="20"/>
      </c>
      <c r="AI40" s="1">
        <f t="shared" si="21"/>
      </c>
      <c r="AJ40" s="1">
        <f t="shared" si="22"/>
      </c>
      <c r="AK40" s="1">
        <f t="shared" si="23"/>
      </c>
      <c r="AL40" s="1">
        <f t="shared" si="24"/>
      </c>
      <c r="AM40" s="1">
        <f t="shared" si="25"/>
      </c>
      <c r="AN40" s="1">
        <f t="shared" si="26"/>
      </c>
      <c r="AO40" s="1">
        <f t="shared" si="27"/>
      </c>
      <c r="AP40" s="1">
        <f t="shared" si="28"/>
      </c>
      <c r="AQ40" s="1">
        <f t="shared" si="29"/>
      </c>
      <c r="AR40" s="1">
        <f t="shared" si="7"/>
      </c>
      <c r="AS40" s="1">
        <f t="shared" si="8"/>
      </c>
      <c r="AT40" s="1">
        <f t="shared" si="30"/>
      </c>
      <c r="AU40" s="1">
        <f t="shared" si="31"/>
      </c>
      <c r="AV40" s="1">
        <f t="shared" si="32"/>
      </c>
      <c r="AW40" s="1">
        <f t="shared" si="33"/>
      </c>
      <c r="AX40" s="1">
        <f t="shared" si="34"/>
      </c>
      <c r="AY40" s="1">
        <f t="shared" si="35"/>
      </c>
      <c r="AZ40" s="1">
        <f t="shared" si="36"/>
      </c>
      <c r="BA40" s="1">
        <f t="shared" si="37"/>
      </c>
      <c r="BB40" s="1">
        <f t="shared" si="38"/>
      </c>
      <c r="BC40" s="1">
        <f t="shared" si="39"/>
      </c>
    </row>
    <row r="41" spans="8:55" ht="11.25">
      <c r="H41" s="1">
        <f t="shared" si="1"/>
      </c>
      <c r="I41" s="1">
        <f t="shared" si="2"/>
      </c>
      <c r="J41" s="1">
        <f t="shared" si="40"/>
      </c>
      <c r="K41" s="1">
        <f t="shared" si="41"/>
      </c>
      <c r="L41" s="1">
        <f t="shared" si="42"/>
      </c>
      <c r="M41" s="1">
        <f t="shared" si="43"/>
      </c>
      <c r="N41" s="1">
        <f t="shared" si="44"/>
      </c>
      <c r="O41" s="1">
        <f t="shared" si="45"/>
      </c>
      <c r="P41" s="1">
        <f t="shared" si="46"/>
      </c>
      <c r="Q41" s="1">
        <f t="shared" si="47"/>
      </c>
      <c r="R41" s="1">
        <f t="shared" si="48"/>
      </c>
      <c r="S41" s="1">
        <f t="shared" si="49"/>
      </c>
      <c r="T41" s="1">
        <f t="shared" si="3"/>
      </c>
      <c r="U41" s="1">
        <f t="shared" si="4"/>
      </c>
      <c r="V41" s="1">
        <f t="shared" si="10"/>
      </c>
      <c r="W41" s="1">
        <f t="shared" si="11"/>
      </c>
      <c r="X41" s="1">
        <f t="shared" si="12"/>
      </c>
      <c r="Y41" s="1">
        <f t="shared" si="13"/>
      </c>
      <c r="Z41" s="1">
        <f t="shared" si="14"/>
      </c>
      <c r="AA41" s="1">
        <f t="shared" si="15"/>
      </c>
      <c r="AB41" s="1">
        <f t="shared" si="16"/>
      </c>
      <c r="AC41" s="1">
        <f t="shared" si="17"/>
      </c>
      <c r="AD41" s="1">
        <f t="shared" si="18"/>
      </c>
      <c r="AE41" s="1">
        <f t="shared" si="19"/>
      </c>
      <c r="AF41" s="1">
        <f t="shared" si="5"/>
      </c>
      <c r="AG41" s="1">
        <f t="shared" si="6"/>
      </c>
      <c r="AH41" s="1">
        <f t="shared" si="20"/>
      </c>
      <c r="AI41" s="1">
        <f t="shared" si="21"/>
      </c>
      <c r="AJ41" s="1">
        <f t="shared" si="22"/>
      </c>
      <c r="AK41" s="1">
        <f t="shared" si="23"/>
      </c>
      <c r="AL41" s="1">
        <f t="shared" si="24"/>
      </c>
      <c r="AM41" s="1">
        <f t="shared" si="25"/>
      </c>
      <c r="AN41" s="1">
        <f t="shared" si="26"/>
      </c>
      <c r="AO41" s="1">
        <f t="shared" si="27"/>
      </c>
      <c r="AP41" s="1">
        <f t="shared" si="28"/>
      </c>
      <c r="AQ41" s="1">
        <f t="shared" si="29"/>
      </c>
      <c r="AR41" s="1">
        <f t="shared" si="7"/>
      </c>
      <c r="AS41" s="1">
        <f t="shared" si="8"/>
      </c>
      <c r="AT41" s="1">
        <f t="shared" si="30"/>
      </c>
      <c r="AU41" s="1">
        <f t="shared" si="31"/>
      </c>
      <c r="AV41" s="1">
        <f t="shared" si="32"/>
      </c>
      <c r="AW41" s="1">
        <f t="shared" si="33"/>
      </c>
      <c r="AX41" s="1">
        <f t="shared" si="34"/>
      </c>
      <c r="AY41" s="1">
        <f t="shared" si="35"/>
      </c>
      <c r="AZ41" s="1">
        <f t="shared" si="36"/>
      </c>
      <c r="BA41" s="1">
        <f t="shared" si="37"/>
      </c>
      <c r="BB41" s="1">
        <f t="shared" si="38"/>
      </c>
      <c r="BC41" s="1">
        <f t="shared" si="39"/>
      </c>
    </row>
    <row r="42" spans="8:55" ht="11.25">
      <c r="H42" s="1">
        <f t="shared" si="1"/>
      </c>
      <c r="I42" s="1">
        <f t="shared" si="2"/>
      </c>
      <c r="J42" s="1">
        <f t="shared" si="40"/>
      </c>
      <c r="K42" s="1">
        <f t="shared" si="41"/>
      </c>
      <c r="L42" s="1">
        <f t="shared" si="42"/>
      </c>
      <c r="M42" s="1">
        <f t="shared" si="43"/>
      </c>
      <c r="N42" s="1">
        <f t="shared" si="44"/>
      </c>
      <c r="O42" s="1">
        <f t="shared" si="45"/>
      </c>
      <c r="P42" s="1">
        <f t="shared" si="46"/>
      </c>
      <c r="Q42" s="1">
        <f t="shared" si="47"/>
      </c>
      <c r="R42" s="1">
        <f t="shared" si="48"/>
      </c>
      <c r="S42" s="1">
        <f t="shared" si="49"/>
      </c>
      <c r="T42" s="1">
        <f t="shared" si="3"/>
      </c>
      <c r="U42" s="1">
        <f t="shared" si="4"/>
      </c>
      <c r="V42" s="1">
        <f t="shared" si="10"/>
      </c>
      <c r="W42" s="1">
        <f t="shared" si="11"/>
      </c>
      <c r="X42" s="1">
        <f t="shared" si="12"/>
      </c>
      <c r="Y42" s="1">
        <f t="shared" si="13"/>
      </c>
      <c r="Z42" s="1">
        <f t="shared" si="14"/>
      </c>
      <c r="AA42" s="1">
        <f t="shared" si="15"/>
      </c>
      <c r="AB42" s="1">
        <f t="shared" si="16"/>
      </c>
      <c r="AC42" s="1">
        <f t="shared" si="17"/>
      </c>
      <c r="AD42" s="1">
        <f t="shared" si="18"/>
      </c>
      <c r="AE42" s="1">
        <f t="shared" si="19"/>
      </c>
      <c r="AF42" s="1">
        <f t="shared" si="5"/>
      </c>
      <c r="AG42" s="1">
        <f t="shared" si="6"/>
      </c>
      <c r="AH42" s="1">
        <f t="shared" si="20"/>
      </c>
      <c r="AI42" s="1">
        <f t="shared" si="21"/>
      </c>
      <c r="AJ42" s="1">
        <f t="shared" si="22"/>
      </c>
      <c r="AK42" s="1">
        <f t="shared" si="23"/>
      </c>
      <c r="AL42" s="1">
        <f t="shared" si="24"/>
      </c>
      <c r="AM42" s="1">
        <f t="shared" si="25"/>
      </c>
      <c r="AN42" s="1">
        <f t="shared" si="26"/>
      </c>
      <c r="AO42" s="1">
        <f t="shared" si="27"/>
      </c>
      <c r="AP42" s="1">
        <f t="shared" si="28"/>
      </c>
      <c r="AQ42" s="1">
        <f t="shared" si="29"/>
      </c>
      <c r="AR42" s="1">
        <f t="shared" si="7"/>
      </c>
      <c r="AS42" s="1">
        <f t="shared" si="8"/>
      </c>
      <c r="AT42" s="1">
        <f t="shared" si="30"/>
      </c>
      <c r="AU42" s="1">
        <f t="shared" si="31"/>
      </c>
      <c r="AV42" s="1">
        <f t="shared" si="32"/>
      </c>
      <c r="AW42" s="1">
        <f t="shared" si="33"/>
      </c>
      <c r="AX42" s="1">
        <f t="shared" si="34"/>
      </c>
      <c r="AY42" s="1">
        <f t="shared" si="35"/>
      </c>
      <c r="AZ42" s="1">
        <f t="shared" si="36"/>
      </c>
      <c r="BA42" s="1">
        <f t="shared" si="37"/>
      </c>
      <c r="BB42" s="1">
        <f t="shared" si="38"/>
      </c>
      <c r="BC42" s="1">
        <f t="shared" si="39"/>
      </c>
    </row>
    <row r="43" spans="8:55" ht="11.25">
      <c r="H43" s="1">
        <f t="shared" si="1"/>
      </c>
      <c r="I43" s="1">
        <f t="shared" si="2"/>
      </c>
      <c r="J43" s="1">
        <f t="shared" si="40"/>
      </c>
      <c r="K43" s="1">
        <f t="shared" si="41"/>
      </c>
      <c r="L43" s="1">
        <f t="shared" si="42"/>
      </c>
      <c r="M43" s="1">
        <f t="shared" si="43"/>
      </c>
      <c r="N43" s="1">
        <f t="shared" si="44"/>
      </c>
      <c r="O43" s="1">
        <f t="shared" si="45"/>
      </c>
      <c r="P43" s="1">
        <f t="shared" si="46"/>
      </c>
      <c r="Q43" s="1">
        <f t="shared" si="47"/>
      </c>
      <c r="R43" s="1">
        <f t="shared" si="48"/>
      </c>
      <c r="S43" s="1">
        <f t="shared" si="49"/>
      </c>
      <c r="T43" s="1">
        <f t="shared" si="3"/>
      </c>
      <c r="U43" s="1">
        <f t="shared" si="4"/>
      </c>
      <c r="V43" s="1">
        <f t="shared" si="10"/>
      </c>
      <c r="W43" s="1">
        <f t="shared" si="11"/>
      </c>
      <c r="X43" s="1">
        <f t="shared" si="12"/>
      </c>
      <c r="Y43" s="1">
        <f t="shared" si="13"/>
      </c>
      <c r="Z43" s="1">
        <f t="shared" si="14"/>
      </c>
      <c r="AA43" s="1">
        <f t="shared" si="15"/>
      </c>
      <c r="AB43" s="1">
        <f t="shared" si="16"/>
      </c>
      <c r="AC43" s="1">
        <f t="shared" si="17"/>
      </c>
      <c r="AD43" s="1">
        <f t="shared" si="18"/>
      </c>
      <c r="AE43" s="1">
        <f t="shared" si="19"/>
      </c>
      <c r="AF43" s="1">
        <f t="shared" si="5"/>
      </c>
      <c r="AG43" s="1">
        <f t="shared" si="6"/>
      </c>
      <c r="AH43" s="1">
        <f t="shared" si="20"/>
      </c>
      <c r="AI43" s="1">
        <f t="shared" si="21"/>
      </c>
      <c r="AJ43" s="1">
        <f t="shared" si="22"/>
      </c>
      <c r="AK43" s="1">
        <f t="shared" si="23"/>
      </c>
      <c r="AL43" s="1">
        <f t="shared" si="24"/>
      </c>
      <c r="AM43" s="1">
        <f t="shared" si="25"/>
      </c>
      <c r="AN43" s="1">
        <f t="shared" si="26"/>
      </c>
      <c r="AO43" s="1">
        <f t="shared" si="27"/>
      </c>
      <c r="AP43" s="1">
        <f t="shared" si="28"/>
      </c>
      <c r="AQ43" s="1">
        <f t="shared" si="29"/>
      </c>
      <c r="AR43" s="1">
        <f t="shared" si="7"/>
      </c>
      <c r="AS43" s="1">
        <f t="shared" si="8"/>
      </c>
      <c r="AT43" s="1">
        <f t="shared" si="30"/>
      </c>
      <c r="AU43" s="1">
        <f t="shared" si="31"/>
      </c>
      <c r="AV43" s="1">
        <f t="shared" si="32"/>
      </c>
      <c r="AW43" s="1">
        <f t="shared" si="33"/>
      </c>
      <c r="AX43" s="1">
        <f t="shared" si="34"/>
      </c>
      <c r="AY43" s="1">
        <f t="shared" si="35"/>
      </c>
      <c r="AZ43" s="1">
        <f t="shared" si="36"/>
      </c>
      <c r="BA43" s="1">
        <f t="shared" si="37"/>
      </c>
      <c r="BB43" s="1">
        <f t="shared" si="38"/>
      </c>
      <c r="BC43" s="1">
        <f t="shared" si="39"/>
      </c>
    </row>
    <row r="44" spans="8:55" ht="11.25">
      <c r="H44" s="1">
        <f t="shared" si="1"/>
      </c>
      <c r="I44" s="1">
        <f t="shared" si="2"/>
      </c>
      <c r="J44" s="1">
        <f t="shared" si="40"/>
      </c>
      <c r="K44" s="1">
        <f t="shared" si="41"/>
      </c>
      <c r="L44" s="1">
        <f t="shared" si="42"/>
      </c>
      <c r="M44" s="1">
        <f t="shared" si="43"/>
      </c>
      <c r="N44" s="1">
        <f t="shared" si="44"/>
      </c>
      <c r="O44" s="1">
        <f t="shared" si="45"/>
      </c>
      <c r="P44" s="1">
        <f t="shared" si="46"/>
      </c>
      <c r="Q44" s="1">
        <f t="shared" si="47"/>
      </c>
      <c r="R44" s="1">
        <f t="shared" si="48"/>
      </c>
      <c r="S44" s="1">
        <f t="shared" si="49"/>
      </c>
      <c r="T44" s="1">
        <f t="shared" si="3"/>
      </c>
      <c r="U44" s="1">
        <f t="shared" si="4"/>
      </c>
      <c r="V44" s="1">
        <f t="shared" si="10"/>
      </c>
      <c r="W44" s="1">
        <f t="shared" si="11"/>
      </c>
      <c r="X44" s="1">
        <f t="shared" si="12"/>
      </c>
      <c r="Y44" s="1">
        <f t="shared" si="13"/>
      </c>
      <c r="Z44" s="1">
        <f t="shared" si="14"/>
      </c>
      <c r="AA44" s="1">
        <f t="shared" si="15"/>
      </c>
      <c r="AB44" s="1">
        <f t="shared" si="16"/>
      </c>
      <c r="AC44" s="1">
        <f t="shared" si="17"/>
      </c>
      <c r="AD44" s="1">
        <f t="shared" si="18"/>
      </c>
      <c r="AE44" s="1">
        <f t="shared" si="19"/>
      </c>
      <c r="AF44" s="1">
        <f t="shared" si="5"/>
      </c>
      <c r="AG44" s="1">
        <f t="shared" si="6"/>
      </c>
      <c r="AH44" s="1">
        <f t="shared" si="20"/>
      </c>
      <c r="AI44" s="1">
        <f t="shared" si="21"/>
      </c>
      <c r="AJ44" s="1">
        <f t="shared" si="22"/>
      </c>
      <c r="AK44" s="1">
        <f t="shared" si="23"/>
      </c>
      <c r="AL44" s="1">
        <f t="shared" si="24"/>
      </c>
      <c r="AM44" s="1">
        <f t="shared" si="25"/>
      </c>
      <c r="AN44" s="1">
        <f t="shared" si="26"/>
      </c>
      <c r="AO44" s="1">
        <f t="shared" si="27"/>
      </c>
      <c r="AP44" s="1">
        <f t="shared" si="28"/>
      </c>
      <c r="AQ44" s="1">
        <f t="shared" si="29"/>
      </c>
      <c r="AR44" s="1">
        <f t="shared" si="7"/>
      </c>
      <c r="AS44" s="1">
        <f t="shared" si="8"/>
      </c>
      <c r="AT44" s="1">
        <f t="shared" si="30"/>
      </c>
      <c r="AU44" s="1">
        <f t="shared" si="31"/>
      </c>
      <c r="AV44" s="1">
        <f t="shared" si="32"/>
      </c>
      <c r="AW44" s="1">
        <f t="shared" si="33"/>
      </c>
      <c r="AX44" s="1">
        <f t="shared" si="34"/>
      </c>
      <c r="AY44" s="1">
        <f t="shared" si="35"/>
      </c>
      <c r="AZ44" s="1">
        <f t="shared" si="36"/>
      </c>
      <c r="BA44" s="1">
        <f t="shared" si="37"/>
      </c>
      <c r="BB44" s="1">
        <f t="shared" si="38"/>
      </c>
      <c r="BC44" s="1">
        <f t="shared" si="39"/>
      </c>
    </row>
    <row r="45" spans="8:55" ht="11.25">
      <c r="H45" s="1">
        <f t="shared" si="1"/>
      </c>
      <c r="I45" s="1">
        <f t="shared" si="2"/>
      </c>
      <c r="J45" s="1">
        <f t="shared" si="40"/>
      </c>
      <c r="K45" s="1">
        <f t="shared" si="41"/>
      </c>
      <c r="L45" s="1">
        <f t="shared" si="42"/>
      </c>
      <c r="M45" s="1">
        <f t="shared" si="43"/>
      </c>
      <c r="N45" s="1">
        <f t="shared" si="44"/>
      </c>
      <c r="O45" s="1">
        <f t="shared" si="45"/>
      </c>
      <c r="P45" s="1">
        <f t="shared" si="46"/>
      </c>
      <c r="Q45" s="1">
        <f t="shared" si="47"/>
      </c>
      <c r="R45" s="1">
        <f t="shared" si="48"/>
      </c>
      <c r="S45" s="1">
        <f t="shared" si="49"/>
      </c>
      <c r="T45" s="1">
        <f t="shared" si="3"/>
      </c>
      <c r="U45" s="1">
        <f t="shared" si="4"/>
      </c>
      <c r="V45" s="1">
        <f t="shared" si="10"/>
      </c>
      <c r="W45" s="1">
        <f t="shared" si="11"/>
      </c>
      <c r="X45" s="1">
        <f t="shared" si="12"/>
      </c>
      <c r="Y45" s="1">
        <f t="shared" si="13"/>
      </c>
      <c r="Z45" s="1">
        <f t="shared" si="14"/>
      </c>
      <c r="AA45" s="1">
        <f t="shared" si="15"/>
      </c>
      <c r="AB45" s="1">
        <f t="shared" si="16"/>
      </c>
      <c r="AC45" s="1">
        <f t="shared" si="17"/>
      </c>
      <c r="AD45" s="1">
        <f t="shared" si="18"/>
      </c>
      <c r="AE45" s="1">
        <f t="shared" si="19"/>
      </c>
      <c r="AF45" s="1">
        <f t="shared" si="5"/>
      </c>
      <c r="AG45" s="1">
        <f t="shared" si="6"/>
      </c>
      <c r="AH45" s="1">
        <f t="shared" si="20"/>
      </c>
      <c r="AI45" s="1">
        <f t="shared" si="21"/>
      </c>
      <c r="AJ45" s="1">
        <f t="shared" si="22"/>
      </c>
      <c r="AK45" s="1">
        <f t="shared" si="23"/>
      </c>
      <c r="AL45" s="1">
        <f t="shared" si="24"/>
      </c>
      <c r="AM45" s="1">
        <f t="shared" si="25"/>
      </c>
      <c r="AN45" s="1">
        <f t="shared" si="26"/>
      </c>
      <c r="AO45" s="1">
        <f t="shared" si="27"/>
      </c>
      <c r="AP45" s="1">
        <f t="shared" si="28"/>
      </c>
      <c r="AQ45" s="1">
        <f t="shared" si="29"/>
      </c>
      <c r="AR45" s="1">
        <f t="shared" si="7"/>
      </c>
      <c r="AS45" s="1">
        <f t="shared" si="8"/>
      </c>
      <c r="AT45" s="1">
        <f t="shared" si="30"/>
      </c>
      <c r="AU45" s="1">
        <f t="shared" si="31"/>
      </c>
      <c r="AV45" s="1">
        <f t="shared" si="32"/>
      </c>
      <c r="AW45" s="1">
        <f t="shared" si="33"/>
      </c>
      <c r="AX45" s="1">
        <f t="shared" si="34"/>
      </c>
      <c r="AY45" s="1">
        <f t="shared" si="35"/>
      </c>
      <c r="AZ45" s="1">
        <f t="shared" si="36"/>
      </c>
      <c r="BA45" s="1">
        <f t="shared" si="37"/>
      </c>
      <c r="BB45" s="1">
        <f t="shared" si="38"/>
      </c>
      <c r="BC45" s="1">
        <f t="shared" si="39"/>
      </c>
    </row>
    <row r="46" spans="8:55" ht="11.25">
      <c r="H46" s="1">
        <f t="shared" si="1"/>
      </c>
      <c r="I46" s="1">
        <f t="shared" si="2"/>
      </c>
      <c r="J46" s="1">
        <f t="shared" si="40"/>
      </c>
      <c r="K46" s="1">
        <f t="shared" si="41"/>
      </c>
      <c r="L46" s="1">
        <f t="shared" si="42"/>
      </c>
      <c r="M46" s="1">
        <f t="shared" si="43"/>
      </c>
      <c r="N46" s="1">
        <f t="shared" si="44"/>
      </c>
      <c r="O46" s="1">
        <f t="shared" si="45"/>
      </c>
      <c r="P46" s="1">
        <f t="shared" si="46"/>
      </c>
      <c r="Q46" s="1">
        <f t="shared" si="47"/>
      </c>
      <c r="R46" s="1">
        <f t="shared" si="48"/>
      </c>
      <c r="S46" s="1">
        <f t="shared" si="49"/>
      </c>
      <c r="T46" s="1">
        <f t="shared" si="3"/>
      </c>
      <c r="U46" s="1">
        <f t="shared" si="4"/>
      </c>
      <c r="V46" s="1">
        <f t="shared" si="10"/>
      </c>
      <c r="W46" s="1">
        <f t="shared" si="11"/>
      </c>
      <c r="X46" s="1">
        <f t="shared" si="12"/>
      </c>
      <c r="Y46" s="1">
        <f t="shared" si="13"/>
      </c>
      <c r="Z46" s="1">
        <f t="shared" si="14"/>
      </c>
      <c r="AA46" s="1">
        <f t="shared" si="15"/>
      </c>
      <c r="AB46" s="1">
        <f t="shared" si="16"/>
      </c>
      <c r="AC46" s="1">
        <f t="shared" si="17"/>
      </c>
      <c r="AD46" s="1">
        <f t="shared" si="18"/>
      </c>
      <c r="AE46" s="1">
        <f t="shared" si="19"/>
      </c>
      <c r="AF46" s="1">
        <f t="shared" si="5"/>
      </c>
      <c r="AG46" s="1">
        <f t="shared" si="6"/>
      </c>
      <c r="AH46" s="1">
        <f t="shared" si="20"/>
      </c>
      <c r="AI46" s="1">
        <f t="shared" si="21"/>
      </c>
      <c r="AJ46" s="1">
        <f t="shared" si="22"/>
      </c>
      <c r="AK46" s="1">
        <f t="shared" si="23"/>
      </c>
      <c r="AL46" s="1">
        <f t="shared" si="24"/>
      </c>
      <c r="AM46" s="1">
        <f t="shared" si="25"/>
      </c>
      <c r="AN46" s="1">
        <f t="shared" si="26"/>
      </c>
      <c r="AO46" s="1">
        <f t="shared" si="27"/>
      </c>
      <c r="AP46" s="1">
        <f t="shared" si="28"/>
      </c>
      <c r="AQ46" s="1">
        <f t="shared" si="29"/>
      </c>
      <c r="AR46" s="1">
        <f t="shared" si="7"/>
      </c>
      <c r="AS46" s="1">
        <f t="shared" si="8"/>
      </c>
      <c r="AT46" s="1">
        <f t="shared" si="30"/>
      </c>
      <c r="AU46" s="1">
        <f t="shared" si="31"/>
      </c>
      <c r="AV46" s="1">
        <f t="shared" si="32"/>
      </c>
      <c r="AW46" s="1">
        <f t="shared" si="33"/>
      </c>
      <c r="AX46" s="1">
        <f t="shared" si="34"/>
      </c>
      <c r="AY46" s="1">
        <f t="shared" si="35"/>
      </c>
      <c r="AZ46" s="1">
        <f t="shared" si="36"/>
      </c>
      <c r="BA46" s="1">
        <f t="shared" si="37"/>
      </c>
      <c r="BB46" s="1">
        <f t="shared" si="38"/>
      </c>
      <c r="BC46" s="1">
        <f t="shared" si="39"/>
      </c>
    </row>
    <row r="47" spans="8:55" ht="11.25">
      <c r="H47" s="1">
        <f t="shared" si="1"/>
      </c>
      <c r="I47" s="1">
        <f t="shared" si="2"/>
      </c>
      <c r="J47" s="1">
        <f t="shared" si="40"/>
      </c>
      <c r="K47" s="1">
        <f t="shared" si="41"/>
      </c>
      <c r="L47" s="1">
        <f t="shared" si="42"/>
      </c>
      <c r="M47" s="1">
        <f t="shared" si="43"/>
      </c>
      <c r="N47" s="1">
        <f t="shared" si="44"/>
      </c>
      <c r="O47" s="1">
        <f t="shared" si="45"/>
      </c>
      <c r="P47" s="1">
        <f t="shared" si="46"/>
      </c>
      <c r="Q47" s="1">
        <f t="shared" si="47"/>
      </c>
      <c r="R47" s="1">
        <f t="shared" si="48"/>
      </c>
      <c r="S47" s="1">
        <f t="shared" si="49"/>
      </c>
      <c r="T47" s="1">
        <f t="shared" si="3"/>
      </c>
      <c r="U47" s="1">
        <f t="shared" si="4"/>
      </c>
      <c r="V47" s="1">
        <f t="shared" si="10"/>
      </c>
      <c r="W47" s="1">
        <f t="shared" si="11"/>
      </c>
      <c r="X47" s="1">
        <f t="shared" si="12"/>
      </c>
      <c r="Y47" s="1">
        <f t="shared" si="13"/>
      </c>
      <c r="Z47" s="1">
        <f t="shared" si="14"/>
      </c>
      <c r="AA47" s="1">
        <f t="shared" si="15"/>
      </c>
      <c r="AB47" s="1">
        <f t="shared" si="16"/>
      </c>
      <c r="AC47" s="1">
        <f t="shared" si="17"/>
      </c>
      <c r="AD47" s="1">
        <f t="shared" si="18"/>
      </c>
      <c r="AE47" s="1">
        <f t="shared" si="19"/>
      </c>
      <c r="AF47" s="1">
        <f t="shared" si="5"/>
      </c>
      <c r="AG47" s="1">
        <f t="shared" si="6"/>
      </c>
      <c r="AH47" s="1">
        <f t="shared" si="20"/>
      </c>
      <c r="AI47" s="1">
        <f t="shared" si="21"/>
      </c>
      <c r="AJ47" s="1">
        <f t="shared" si="22"/>
      </c>
      <c r="AK47" s="1">
        <f t="shared" si="23"/>
      </c>
      <c r="AL47" s="1">
        <f t="shared" si="24"/>
      </c>
      <c r="AM47" s="1">
        <f t="shared" si="25"/>
      </c>
      <c r="AN47" s="1">
        <f t="shared" si="26"/>
      </c>
      <c r="AO47" s="1">
        <f t="shared" si="27"/>
      </c>
      <c r="AP47" s="1">
        <f t="shared" si="28"/>
      </c>
      <c r="AQ47" s="1">
        <f t="shared" si="29"/>
      </c>
      <c r="AR47" s="1">
        <f t="shared" si="7"/>
      </c>
      <c r="AS47" s="1">
        <f t="shared" si="8"/>
      </c>
      <c r="AT47" s="1">
        <f t="shared" si="30"/>
      </c>
      <c r="AU47" s="1">
        <f t="shared" si="31"/>
      </c>
      <c r="AV47" s="1">
        <f t="shared" si="32"/>
      </c>
      <c r="AW47" s="1">
        <f t="shared" si="33"/>
      </c>
      <c r="AX47" s="1">
        <f t="shared" si="34"/>
      </c>
      <c r="AY47" s="1">
        <f t="shared" si="35"/>
      </c>
      <c r="AZ47" s="1">
        <f t="shared" si="36"/>
      </c>
      <c r="BA47" s="1">
        <f t="shared" si="37"/>
      </c>
      <c r="BB47" s="1">
        <f t="shared" si="38"/>
      </c>
      <c r="BC47" s="1">
        <f t="shared" si="39"/>
      </c>
    </row>
    <row r="48" spans="8:55" ht="11.25">
      <c r="H48" s="1">
        <f t="shared" si="1"/>
      </c>
      <c r="I48" s="1">
        <f t="shared" si="2"/>
      </c>
      <c r="J48" s="1">
        <f t="shared" si="40"/>
      </c>
      <c r="K48" s="1">
        <f t="shared" si="41"/>
      </c>
      <c r="L48" s="1">
        <f t="shared" si="42"/>
      </c>
      <c r="M48" s="1">
        <f t="shared" si="43"/>
      </c>
      <c r="N48" s="1">
        <f t="shared" si="44"/>
      </c>
      <c r="O48" s="1">
        <f t="shared" si="45"/>
      </c>
      <c r="P48" s="1">
        <f t="shared" si="46"/>
      </c>
      <c r="Q48" s="1">
        <f t="shared" si="47"/>
      </c>
      <c r="R48" s="1">
        <f t="shared" si="48"/>
      </c>
      <c r="S48" s="1">
        <f t="shared" si="49"/>
      </c>
      <c r="T48" s="1">
        <f t="shared" si="3"/>
      </c>
      <c r="U48" s="1">
        <f t="shared" si="4"/>
      </c>
      <c r="V48" s="1">
        <f t="shared" si="10"/>
      </c>
      <c r="W48" s="1">
        <f t="shared" si="11"/>
      </c>
      <c r="X48" s="1">
        <f t="shared" si="12"/>
      </c>
      <c r="Y48" s="1">
        <f t="shared" si="13"/>
      </c>
      <c r="Z48" s="1">
        <f t="shared" si="14"/>
      </c>
      <c r="AA48" s="1">
        <f t="shared" si="15"/>
      </c>
      <c r="AB48" s="1">
        <f t="shared" si="16"/>
      </c>
      <c r="AC48" s="1">
        <f t="shared" si="17"/>
      </c>
      <c r="AD48" s="1">
        <f t="shared" si="18"/>
      </c>
      <c r="AE48" s="1">
        <f t="shared" si="19"/>
      </c>
      <c r="AF48" s="1">
        <f t="shared" si="5"/>
      </c>
      <c r="AG48" s="1">
        <f t="shared" si="6"/>
      </c>
      <c r="AH48" s="1">
        <f t="shared" si="20"/>
      </c>
      <c r="AI48" s="1">
        <f t="shared" si="21"/>
      </c>
      <c r="AJ48" s="1">
        <f t="shared" si="22"/>
      </c>
      <c r="AK48" s="1">
        <f t="shared" si="23"/>
      </c>
      <c r="AL48" s="1">
        <f t="shared" si="24"/>
      </c>
      <c r="AM48" s="1">
        <f t="shared" si="25"/>
      </c>
      <c r="AN48" s="1">
        <f t="shared" si="26"/>
      </c>
      <c r="AO48" s="1">
        <f t="shared" si="27"/>
      </c>
      <c r="AP48" s="1">
        <f t="shared" si="28"/>
      </c>
      <c r="AQ48" s="1">
        <f t="shared" si="29"/>
      </c>
      <c r="AR48" s="1">
        <f t="shared" si="7"/>
      </c>
      <c r="AS48" s="1">
        <f t="shared" si="8"/>
      </c>
      <c r="AT48" s="1">
        <f t="shared" si="30"/>
      </c>
      <c r="AU48" s="1">
        <f t="shared" si="31"/>
      </c>
      <c r="AV48" s="1">
        <f t="shared" si="32"/>
      </c>
      <c r="AW48" s="1">
        <f t="shared" si="33"/>
      </c>
      <c r="AX48" s="1">
        <f t="shared" si="34"/>
      </c>
      <c r="AY48" s="1">
        <f t="shared" si="35"/>
      </c>
      <c r="AZ48" s="1">
        <f t="shared" si="36"/>
      </c>
      <c r="BA48" s="1">
        <f t="shared" si="37"/>
      </c>
      <c r="BB48" s="1">
        <f t="shared" si="38"/>
      </c>
      <c r="BC48" s="1">
        <f t="shared" si="39"/>
      </c>
    </row>
    <row r="49" spans="8:55" ht="11.25">
      <c r="H49" s="1">
        <f t="shared" si="1"/>
      </c>
      <c r="I49" s="1">
        <f t="shared" si="2"/>
      </c>
      <c r="J49" s="1">
        <f t="shared" si="40"/>
      </c>
      <c r="K49" s="1">
        <f t="shared" si="41"/>
      </c>
      <c r="L49" s="1">
        <f t="shared" si="42"/>
      </c>
      <c r="M49" s="1">
        <f t="shared" si="43"/>
      </c>
      <c r="N49" s="1">
        <f t="shared" si="44"/>
      </c>
      <c r="O49" s="1">
        <f t="shared" si="45"/>
      </c>
      <c r="P49" s="1">
        <f t="shared" si="46"/>
      </c>
      <c r="Q49" s="1">
        <f t="shared" si="47"/>
      </c>
      <c r="R49" s="1">
        <f t="shared" si="48"/>
      </c>
      <c r="S49" s="1">
        <f t="shared" si="49"/>
      </c>
      <c r="T49" s="1">
        <f t="shared" si="3"/>
      </c>
      <c r="U49" s="1">
        <f t="shared" si="4"/>
      </c>
      <c r="V49" s="1">
        <f t="shared" si="10"/>
      </c>
      <c r="W49" s="1">
        <f t="shared" si="11"/>
      </c>
      <c r="X49" s="1">
        <f t="shared" si="12"/>
      </c>
      <c r="Y49" s="1">
        <f t="shared" si="13"/>
      </c>
      <c r="Z49" s="1">
        <f t="shared" si="14"/>
      </c>
      <c r="AA49" s="1">
        <f t="shared" si="15"/>
      </c>
      <c r="AB49" s="1">
        <f t="shared" si="16"/>
      </c>
      <c r="AC49" s="1">
        <f t="shared" si="17"/>
      </c>
      <c r="AD49" s="1">
        <f t="shared" si="18"/>
      </c>
      <c r="AE49" s="1">
        <f t="shared" si="19"/>
      </c>
      <c r="AF49" s="1">
        <f t="shared" si="5"/>
      </c>
      <c r="AG49" s="1">
        <f t="shared" si="6"/>
      </c>
      <c r="AH49" s="1">
        <f t="shared" si="20"/>
      </c>
      <c r="AI49" s="1">
        <f t="shared" si="21"/>
      </c>
      <c r="AJ49" s="1">
        <f t="shared" si="22"/>
      </c>
      <c r="AK49" s="1">
        <f t="shared" si="23"/>
      </c>
      <c r="AL49" s="1">
        <f t="shared" si="24"/>
      </c>
      <c r="AM49" s="1">
        <f t="shared" si="25"/>
      </c>
      <c r="AN49" s="1">
        <f t="shared" si="26"/>
      </c>
      <c r="AO49" s="1">
        <f t="shared" si="27"/>
      </c>
      <c r="AP49" s="1">
        <f t="shared" si="28"/>
      </c>
      <c r="AQ49" s="1">
        <f t="shared" si="29"/>
      </c>
      <c r="AR49" s="1">
        <f t="shared" si="7"/>
      </c>
      <c r="AS49" s="1">
        <f t="shared" si="8"/>
      </c>
      <c r="AT49" s="1">
        <f t="shared" si="30"/>
      </c>
      <c r="AU49" s="1">
        <f t="shared" si="31"/>
      </c>
      <c r="AV49" s="1">
        <f t="shared" si="32"/>
      </c>
      <c r="AW49" s="1">
        <f t="shared" si="33"/>
      </c>
      <c r="AX49" s="1">
        <f t="shared" si="34"/>
      </c>
      <c r="AY49" s="1">
        <f t="shared" si="35"/>
      </c>
      <c r="AZ49" s="1">
        <f t="shared" si="36"/>
      </c>
      <c r="BA49" s="1">
        <f t="shared" si="37"/>
      </c>
      <c r="BB49" s="1">
        <f t="shared" si="38"/>
      </c>
      <c r="BC49" s="1">
        <f t="shared" si="39"/>
      </c>
    </row>
    <row r="50" spans="8:55" ht="11.25">
      <c r="H50" s="1">
        <f t="shared" si="1"/>
      </c>
      <c r="I50" s="1">
        <f t="shared" si="2"/>
      </c>
      <c r="J50" s="1">
        <f t="shared" si="40"/>
      </c>
      <c r="K50" s="1">
        <f t="shared" si="41"/>
      </c>
      <c r="L50" s="1">
        <f t="shared" si="42"/>
      </c>
      <c r="M50" s="1">
        <f t="shared" si="43"/>
      </c>
      <c r="N50" s="1">
        <f t="shared" si="44"/>
      </c>
      <c r="O50" s="1">
        <f t="shared" si="45"/>
      </c>
      <c r="P50" s="1">
        <f t="shared" si="46"/>
      </c>
      <c r="Q50" s="1">
        <f t="shared" si="47"/>
      </c>
      <c r="R50" s="1">
        <f t="shared" si="48"/>
      </c>
      <c r="S50" s="1">
        <f t="shared" si="49"/>
      </c>
      <c r="T50" s="1">
        <f t="shared" si="3"/>
      </c>
      <c r="U50" s="1">
        <f t="shared" si="4"/>
      </c>
      <c r="V50" s="1">
        <f t="shared" si="10"/>
      </c>
      <c r="W50" s="1">
        <f t="shared" si="11"/>
      </c>
      <c r="X50" s="1">
        <f t="shared" si="12"/>
      </c>
      <c r="Y50" s="1">
        <f t="shared" si="13"/>
      </c>
      <c r="Z50" s="1">
        <f t="shared" si="14"/>
      </c>
      <c r="AA50" s="1">
        <f t="shared" si="15"/>
      </c>
      <c r="AB50" s="1">
        <f t="shared" si="16"/>
      </c>
      <c r="AC50" s="1">
        <f t="shared" si="17"/>
      </c>
      <c r="AD50" s="1">
        <f t="shared" si="18"/>
      </c>
      <c r="AE50" s="1">
        <f t="shared" si="19"/>
      </c>
      <c r="AF50" s="1">
        <f t="shared" si="5"/>
      </c>
      <c r="AG50" s="1">
        <f t="shared" si="6"/>
      </c>
      <c r="AH50" s="1">
        <f t="shared" si="20"/>
      </c>
      <c r="AI50" s="1">
        <f t="shared" si="21"/>
      </c>
      <c r="AJ50" s="1">
        <f t="shared" si="22"/>
      </c>
      <c r="AK50" s="1">
        <f t="shared" si="23"/>
      </c>
      <c r="AL50" s="1">
        <f t="shared" si="24"/>
      </c>
      <c r="AM50" s="1">
        <f t="shared" si="25"/>
      </c>
      <c r="AN50" s="1">
        <f t="shared" si="26"/>
      </c>
      <c r="AO50" s="1">
        <f t="shared" si="27"/>
      </c>
      <c r="AP50" s="1">
        <f t="shared" si="28"/>
      </c>
      <c r="AQ50" s="1">
        <f t="shared" si="29"/>
      </c>
      <c r="AR50" s="1">
        <f t="shared" si="7"/>
      </c>
      <c r="AS50" s="1">
        <f t="shared" si="8"/>
      </c>
      <c r="AT50" s="1">
        <f t="shared" si="30"/>
      </c>
      <c r="AU50" s="1">
        <f t="shared" si="31"/>
      </c>
      <c r="AV50" s="1">
        <f t="shared" si="32"/>
      </c>
      <c r="AW50" s="1">
        <f t="shared" si="33"/>
      </c>
      <c r="AX50" s="1">
        <f t="shared" si="34"/>
      </c>
      <c r="AY50" s="1">
        <f t="shared" si="35"/>
      </c>
      <c r="AZ50" s="1">
        <f t="shared" si="36"/>
      </c>
      <c r="BA50" s="1">
        <f t="shared" si="37"/>
      </c>
      <c r="BB50" s="1">
        <f t="shared" si="38"/>
      </c>
      <c r="BC50" s="1">
        <f t="shared" si="39"/>
      </c>
    </row>
    <row r="51" spans="8:55" ht="11.25">
      <c r="H51" s="1">
        <f t="shared" si="1"/>
      </c>
      <c r="I51" s="1">
        <f t="shared" si="2"/>
      </c>
      <c r="J51" s="1">
        <f t="shared" si="40"/>
      </c>
      <c r="K51" s="1">
        <f t="shared" si="41"/>
      </c>
      <c r="L51" s="1">
        <f t="shared" si="42"/>
      </c>
      <c r="M51" s="1">
        <f t="shared" si="43"/>
      </c>
      <c r="N51" s="1">
        <f t="shared" si="44"/>
      </c>
      <c r="O51" s="1">
        <f t="shared" si="45"/>
      </c>
      <c r="P51" s="1">
        <f t="shared" si="46"/>
      </c>
      <c r="Q51" s="1">
        <f t="shared" si="47"/>
      </c>
      <c r="R51" s="1">
        <f t="shared" si="48"/>
      </c>
      <c r="S51" s="1">
        <f t="shared" si="49"/>
      </c>
      <c r="T51" s="1">
        <f t="shared" si="3"/>
      </c>
      <c r="U51" s="1">
        <f t="shared" si="4"/>
      </c>
      <c r="V51" s="1">
        <f t="shared" si="10"/>
      </c>
      <c r="W51" s="1">
        <f t="shared" si="11"/>
      </c>
      <c r="X51" s="1">
        <f t="shared" si="12"/>
      </c>
      <c r="Y51" s="1">
        <f t="shared" si="13"/>
      </c>
      <c r="Z51" s="1">
        <f t="shared" si="14"/>
      </c>
      <c r="AA51" s="1">
        <f t="shared" si="15"/>
      </c>
      <c r="AB51" s="1">
        <f t="shared" si="16"/>
      </c>
      <c r="AC51" s="1">
        <f t="shared" si="17"/>
      </c>
      <c r="AD51" s="1">
        <f t="shared" si="18"/>
      </c>
      <c r="AE51" s="1">
        <f t="shared" si="19"/>
      </c>
      <c r="AF51" s="1">
        <f t="shared" si="5"/>
      </c>
      <c r="AG51" s="1">
        <f t="shared" si="6"/>
      </c>
      <c r="AH51" s="1">
        <f t="shared" si="20"/>
      </c>
      <c r="AI51" s="1">
        <f t="shared" si="21"/>
      </c>
      <c r="AJ51" s="1">
        <f t="shared" si="22"/>
      </c>
      <c r="AK51" s="1">
        <f t="shared" si="23"/>
      </c>
      <c r="AL51" s="1">
        <f t="shared" si="24"/>
      </c>
      <c r="AM51" s="1">
        <f t="shared" si="25"/>
      </c>
      <c r="AN51" s="1">
        <f t="shared" si="26"/>
      </c>
      <c r="AO51" s="1">
        <f t="shared" si="27"/>
      </c>
      <c r="AP51" s="1">
        <f t="shared" si="28"/>
      </c>
      <c r="AQ51" s="1">
        <f t="shared" si="29"/>
      </c>
      <c r="AR51" s="1">
        <f t="shared" si="7"/>
      </c>
      <c r="AS51" s="1">
        <f t="shared" si="8"/>
      </c>
      <c r="AT51" s="1">
        <f t="shared" si="30"/>
      </c>
      <c r="AU51" s="1">
        <f t="shared" si="31"/>
      </c>
      <c r="AV51" s="1">
        <f t="shared" si="32"/>
      </c>
      <c r="AW51" s="1">
        <f t="shared" si="33"/>
      </c>
      <c r="AX51" s="1">
        <f t="shared" si="34"/>
      </c>
      <c r="AY51" s="1">
        <f t="shared" si="35"/>
      </c>
      <c r="AZ51" s="1">
        <f t="shared" si="36"/>
      </c>
      <c r="BA51" s="1">
        <f t="shared" si="37"/>
      </c>
      <c r="BB51" s="1">
        <f t="shared" si="38"/>
      </c>
      <c r="BC51" s="1">
        <f t="shared" si="39"/>
      </c>
    </row>
    <row r="52" spans="8:55" ht="11.25">
      <c r="H52" s="1">
        <f t="shared" si="1"/>
      </c>
      <c r="I52" s="1">
        <f t="shared" si="2"/>
      </c>
      <c r="J52" s="1">
        <f t="shared" si="40"/>
      </c>
      <c r="K52" s="1">
        <f t="shared" si="41"/>
      </c>
      <c r="L52" s="1">
        <f t="shared" si="42"/>
      </c>
      <c r="M52" s="1">
        <f t="shared" si="43"/>
      </c>
      <c r="N52" s="1">
        <f t="shared" si="44"/>
      </c>
      <c r="O52" s="1">
        <f t="shared" si="45"/>
      </c>
      <c r="P52" s="1">
        <f t="shared" si="46"/>
      </c>
      <c r="Q52" s="1">
        <f t="shared" si="47"/>
      </c>
      <c r="R52" s="1">
        <f t="shared" si="48"/>
      </c>
      <c r="S52" s="1">
        <f t="shared" si="49"/>
      </c>
      <c r="T52" s="1">
        <f t="shared" si="3"/>
      </c>
      <c r="U52" s="1">
        <f t="shared" si="4"/>
      </c>
      <c r="V52" s="1">
        <f t="shared" si="10"/>
      </c>
      <c r="W52" s="1">
        <f t="shared" si="11"/>
      </c>
      <c r="X52" s="1">
        <f t="shared" si="12"/>
      </c>
      <c r="Y52" s="1">
        <f t="shared" si="13"/>
      </c>
      <c r="Z52" s="1">
        <f t="shared" si="14"/>
      </c>
      <c r="AA52" s="1">
        <f t="shared" si="15"/>
      </c>
      <c r="AB52" s="1">
        <f t="shared" si="16"/>
      </c>
      <c r="AC52" s="1">
        <f t="shared" si="17"/>
      </c>
      <c r="AD52" s="1">
        <f t="shared" si="18"/>
      </c>
      <c r="AE52" s="1">
        <f t="shared" si="19"/>
      </c>
      <c r="AF52" s="1">
        <f t="shared" si="5"/>
      </c>
      <c r="AG52" s="1">
        <f t="shared" si="6"/>
      </c>
      <c r="AH52" s="1">
        <f t="shared" si="20"/>
      </c>
      <c r="AI52" s="1">
        <f t="shared" si="21"/>
      </c>
      <c r="AJ52" s="1">
        <f t="shared" si="22"/>
      </c>
      <c r="AK52" s="1">
        <f t="shared" si="23"/>
      </c>
      <c r="AL52" s="1">
        <f t="shared" si="24"/>
      </c>
      <c r="AM52" s="1">
        <f t="shared" si="25"/>
      </c>
      <c r="AN52" s="1">
        <f t="shared" si="26"/>
      </c>
      <c r="AO52" s="1">
        <f t="shared" si="27"/>
      </c>
      <c r="AP52" s="1">
        <f t="shared" si="28"/>
      </c>
      <c r="AQ52" s="1">
        <f t="shared" si="29"/>
      </c>
      <c r="AR52" s="1">
        <f t="shared" si="7"/>
      </c>
      <c r="AS52" s="1">
        <f t="shared" si="8"/>
      </c>
      <c r="AT52" s="1">
        <f t="shared" si="30"/>
      </c>
      <c r="AU52" s="1">
        <f t="shared" si="31"/>
      </c>
      <c r="AV52" s="1">
        <f t="shared" si="32"/>
      </c>
      <c r="AW52" s="1">
        <f t="shared" si="33"/>
      </c>
      <c r="AX52" s="1">
        <f t="shared" si="34"/>
      </c>
      <c r="AY52" s="1">
        <f t="shared" si="35"/>
      </c>
      <c r="AZ52" s="1">
        <f t="shared" si="36"/>
      </c>
      <c r="BA52" s="1">
        <f t="shared" si="37"/>
      </c>
      <c r="BB52" s="1">
        <f t="shared" si="38"/>
      </c>
      <c r="BC52" s="1">
        <f t="shared" si="39"/>
      </c>
    </row>
    <row r="53" spans="8:55" ht="11.25">
      <c r="H53" s="1">
        <f t="shared" si="1"/>
      </c>
      <c r="I53" s="1">
        <f t="shared" si="2"/>
      </c>
      <c r="J53" s="1">
        <f t="shared" si="40"/>
      </c>
      <c r="K53" s="1">
        <f t="shared" si="41"/>
      </c>
      <c r="L53" s="1">
        <f t="shared" si="42"/>
      </c>
      <c r="M53" s="1">
        <f t="shared" si="43"/>
      </c>
      <c r="N53" s="1">
        <f t="shared" si="44"/>
      </c>
      <c r="O53" s="1">
        <f t="shared" si="45"/>
      </c>
      <c r="P53" s="1">
        <f t="shared" si="46"/>
      </c>
      <c r="Q53" s="1">
        <f t="shared" si="47"/>
      </c>
      <c r="R53" s="1">
        <f t="shared" si="48"/>
      </c>
      <c r="S53" s="1">
        <f t="shared" si="49"/>
      </c>
      <c r="T53" s="1">
        <f t="shared" si="3"/>
      </c>
      <c r="U53" s="1">
        <f t="shared" si="4"/>
      </c>
      <c r="V53" s="1">
        <f t="shared" si="10"/>
      </c>
      <c r="W53" s="1">
        <f t="shared" si="11"/>
      </c>
      <c r="X53" s="1">
        <f t="shared" si="12"/>
      </c>
      <c r="Y53" s="1">
        <f t="shared" si="13"/>
      </c>
      <c r="Z53" s="1">
        <f t="shared" si="14"/>
      </c>
      <c r="AA53" s="1">
        <f t="shared" si="15"/>
      </c>
      <c r="AB53" s="1">
        <f t="shared" si="16"/>
      </c>
      <c r="AC53" s="1">
        <f t="shared" si="17"/>
      </c>
      <c r="AD53" s="1">
        <f t="shared" si="18"/>
      </c>
      <c r="AE53" s="1">
        <f t="shared" si="19"/>
      </c>
      <c r="AF53" s="1">
        <f t="shared" si="5"/>
      </c>
      <c r="AG53" s="1">
        <f t="shared" si="6"/>
      </c>
      <c r="AH53" s="1">
        <f t="shared" si="20"/>
      </c>
      <c r="AI53" s="1">
        <f t="shared" si="21"/>
      </c>
      <c r="AJ53" s="1">
        <f t="shared" si="22"/>
      </c>
      <c r="AK53" s="1">
        <f t="shared" si="23"/>
      </c>
      <c r="AL53" s="1">
        <f t="shared" si="24"/>
      </c>
      <c r="AM53" s="1">
        <f t="shared" si="25"/>
      </c>
      <c r="AN53" s="1">
        <f t="shared" si="26"/>
      </c>
      <c r="AO53" s="1">
        <f t="shared" si="27"/>
      </c>
      <c r="AP53" s="1">
        <f t="shared" si="28"/>
      </c>
      <c r="AQ53" s="1">
        <f t="shared" si="29"/>
      </c>
      <c r="AR53" s="1">
        <f t="shared" si="7"/>
      </c>
      <c r="AS53" s="1">
        <f t="shared" si="8"/>
      </c>
      <c r="AT53" s="1">
        <f t="shared" si="30"/>
      </c>
      <c r="AU53" s="1">
        <f t="shared" si="31"/>
      </c>
      <c r="AV53" s="1">
        <f t="shared" si="32"/>
      </c>
      <c r="AW53" s="1">
        <f t="shared" si="33"/>
      </c>
      <c r="AX53" s="1">
        <f t="shared" si="34"/>
      </c>
      <c r="AY53" s="1">
        <f t="shared" si="35"/>
      </c>
      <c r="AZ53" s="1">
        <f t="shared" si="36"/>
      </c>
      <c r="BA53" s="1">
        <f t="shared" si="37"/>
      </c>
      <c r="BB53" s="1">
        <f t="shared" si="38"/>
      </c>
      <c r="BC53" s="1">
        <f t="shared" si="39"/>
      </c>
    </row>
    <row r="54" spans="8:55" ht="11.25">
      <c r="H54" s="1">
        <f t="shared" si="1"/>
      </c>
      <c r="I54" s="1">
        <f t="shared" si="2"/>
      </c>
      <c r="J54" s="1">
        <f t="shared" si="40"/>
      </c>
      <c r="K54" s="1">
        <f t="shared" si="41"/>
      </c>
      <c r="L54" s="1">
        <f t="shared" si="42"/>
      </c>
      <c r="M54" s="1">
        <f t="shared" si="43"/>
      </c>
      <c r="N54" s="1">
        <f t="shared" si="44"/>
      </c>
      <c r="O54" s="1">
        <f t="shared" si="45"/>
      </c>
      <c r="P54" s="1">
        <f t="shared" si="46"/>
      </c>
      <c r="Q54" s="1">
        <f t="shared" si="47"/>
      </c>
      <c r="R54" s="1">
        <f t="shared" si="48"/>
      </c>
      <c r="S54" s="1">
        <f t="shared" si="49"/>
      </c>
      <c r="T54" s="1">
        <f t="shared" si="3"/>
      </c>
      <c r="U54" s="1">
        <f t="shared" si="4"/>
      </c>
      <c r="V54" s="1">
        <f t="shared" si="10"/>
      </c>
      <c r="W54" s="1">
        <f t="shared" si="11"/>
      </c>
      <c r="X54" s="1">
        <f t="shared" si="12"/>
      </c>
      <c r="Y54" s="1">
        <f t="shared" si="13"/>
      </c>
      <c r="Z54" s="1">
        <f t="shared" si="14"/>
      </c>
      <c r="AA54" s="1">
        <f t="shared" si="15"/>
      </c>
      <c r="AB54" s="1">
        <f t="shared" si="16"/>
      </c>
      <c r="AC54" s="1">
        <f t="shared" si="17"/>
      </c>
      <c r="AD54" s="1">
        <f t="shared" si="18"/>
      </c>
      <c r="AE54" s="1">
        <f t="shared" si="19"/>
      </c>
      <c r="AF54" s="1">
        <f t="shared" si="5"/>
      </c>
      <c r="AG54" s="1">
        <f t="shared" si="6"/>
      </c>
      <c r="AH54" s="1">
        <f t="shared" si="20"/>
      </c>
      <c r="AI54" s="1">
        <f t="shared" si="21"/>
      </c>
      <c r="AJ54" s="1">
        <f t="shared" si="22"/>
      </c>
      <c r="AK54" s="1">
        <f t="shared" si="23"/>
      </c>
      <c r="AL54" s="1">
        <f t="shared" si="24"/>
      </c>
      <c r="AM54" s="1">
        <f t="shared" si="25"/>
      </c>
      <c r="AN54" s="1">
        <f t="shared" si="26"/>
      </c>
      <c r="AO54" s="1">
        <f t="shared" si="27"/>
      </c>
      <c r="AP54" s="1">
        <f t="shared" si="28"/>
      </c>
      <c r="AQ54" s="1">
        <f t="shared" si="29"/>
      </c>
      <c r="AR54" s="1">
        <f t="shared" si="7"/>
      </c>
      <c r="AS54" s="1">
        <f t="shared" si="8"/>
      </c>
      <c r="AT54" s="1">
        <f t="shared" si="30"/>
      </c>
      <c r="AU54" s="1">
        <f t="shared" si="31"/>
      </c>
      <c r="AV54" s="1">
        <f t="shared" si="32"/>
      </c>
      <c r="AW54" s="1">
        <f t="shared" si="33"/>
      </c>
      <c r="AX54" s="1">
        <f t="shared" si="34"/>
      </c>
      <c r="AY54" s="1">
        <f t="shared" si="35"/>
      </c>
      <c r="AZ54" s="1">
        <f t="shared" si="36"/>
      </c>
      <c r="BA54" s="1">
        <f t="shared" si="37"/>
      </c>
      <c r="BB54" s="1">
        <f t="shared" si="38"/>
      </c>
      <c r="BC54" s="1">
        <f t="shared" si="39"/>
      </c>
    </row>
    <row r="55" spans="8:55" ht="11.25">
      <c r="H55" s="1">
        <f t="shared" si="1"/>
      </c>
      <c r="I55" s="1">
        <f t="shared" si="2"/>
      </c>
      <c r="J55" s="1">
        <f t="shared" si="40"/>
      </c>
      <c r="K55" s="1">
        <f t="shared" si="41"/>
      </c>
      <c r="L55" s="1">
        <f t="shared" si="42"/>
      </c>
      <c r="M55" s="1">
        <f t="shared" si="43"/>
      </c>
      <c r="N55" s="1">
        <f t="shared" si="44"/>
      </c>
      <c r="O55" s="1">
        <f t="shared" si="45"/>
      </c>
      <c r="P55" s="1">
        <f t="shared" si="46"/>
      </c>
      <c r="Q55" s="1">
        <f t="shared" si="47"/>
      </c>
      <c r="R55" s="1">
        <f t="shared" si="48"/>
      </c>
      <c r="S55" s="1">
        <f t="shared" si="49"/>
      </c>
      <c r="T55" s="1">
        <f t="shared" si="3"/>
      </c>
      <c r="U55" s="1">
        <f t="shared" si="4"/>
      </c>
      <c r="V55" s="1">
        <f t="shared" si="10"/>
      </c>
      <c r="W55" s="1">
        <f t="shared" si="11"/>
      </c>
      <c r="X55" s="1">
        <f t="shared" si="12"/>
      </c>
      <c r="Y55" s="1">
        <f t="shared" si="13"/>
      </c>
      <c r="Z55" s="1">
        <f t="shared" si="14"/>
      </c>
      <c r="AA55" s="1">
        <f t="shared" si="15"/>
      </c>
      <c r="AB55" s="1">
        <f t="shared" si="16"/>
      </c>
      <c r="AC55" s="1">
        <f t="shared" si="17"/>
      </c>
      <c r="AD55" s="1">
        <f t="shared" si="18"/>
      </c>
      <c r="AE55" s="1">
        <f t="shared" si="19"/>
      </c>
      <c r="AF55" s="1">
        <f t="shared" si="5"/>
      </c>
      <c r="AG55" s="1">
        <f t="shared" si="6"/>
      </c>
      <c r="AH55" s="1">
        <f t="shared" si="20"/>
      </c>
      <c r="AI55" s="1">
        <f t="shared" si="21"/>
      </c>
      <c r="AJ55" s="1">
        <f t="shared" si="22"/>
      </c>
      <c r="AK55" s="1">
        <f t="shared" si="23"/>
      </c>
      <c r="AL55" s="1">
        <f t="shared" si="24"/>
      </c>
      <c r="AM55" s="1">
        <f t="shared" si="25"/>
      </c>
      <c r="AN55" s="1">
        <f t="shared" si="26"/>
      </c>
      <c r="AO55" s="1">
        <f t="shared" si="27"/>
      </c>
      <c r="AP55" s="1">
        <f t="shared" si="28"/>
      </c>
      <c r="AQ55" s="1">
        <f t="shared" si="29"/>
      </c>
      <c r="AR55" s="1">
        <f t="shared" si="7"/>
      </c>
      <c r="AS55" s="1">
        <f t="shared" si="8"/>
      </c>
      <c r="AT55" s="1">
        <f t="shared" si="30"/>
      </c>
      <c r="AU55" s="1">
        <f t="shared" si="31"/>
      </c>
      <c r="AV55" s="1">
        <f t="shared" si="32"/>
      </c>
      <c r="AW55" s="1">
        <f t="shared" si="33"/>
      </c>
      <c r="AX55" s="1">
        <f t="shared" si="34"/>
      </c>
      <c r="AY55" s="1">
        <f t="shared" si="35"/>
      </c>
      <c r="AZ55" s="1">
        <f t="shared" si="36"/>
      </c>
      <c r="BA55" s="1">
        <f t="shared" si="37"/>
      </c>
      <c r="BB55" s="1">
        <f t="shared" si="38"/>
      </c>
      <c r="BC55" s="1">
        <f t="shared" si="39"/>
      </c>
    </row>
    <row r="56" spans="8:55" ht="11.25">
      <c r="H56" s="1">
        <f t="shared" si="1"/>
      </c>
      <c r="I56" s="1">
        <f t="shared" si="2"/>
      </c>
      <c r="J56" s="1">
        <f t="shared" si="40"/>
      </c>
      <c r="K56" s="1">
        <f t="shared" si="41"/>
      </c>
      <c r="L56" s="1">
        <f t="shared" si="42"/>
      </c>
      <c r="M56" s="1">
        <f t="shared" si="43"/>
      </c>
      <c r="N56" s="1">
        <f t="shared" si="44"/>
      </c>
      <c r="O56" s="1">
        <f t="shared" si="45"/>
      </c>
      <c r="P56" s="1">
        <f t="shared" si="46"/>
      </c>
      <c r="Q56" s="1">
        <f t="shared" si="47"/>
      </c>
      <c r="R56" s="1">
        <f t="shared" si="48"/>
      </c>
      <c r="S56" s="1">
        <f t="shared" si="49"/>
      </c>
      <c r="T56" s="1">
        <f t="shared" si="3"/>
      </c>
      <c r="U56" s="1">
        <f t="shared" si="4"/>
      </c>
      <c r="V56" s="1">
        <f t="shared" si="10"/>
      </c>
      <c r="W56" s="1">
        <f t="shared" si="11"/>
      </c>
      <c r="X56" s="1">
        <f t="shared" si="12"/>
      </c>
      <c r="Y56" s="1">
        <f t="shared" si="13"/>
      </c>
      <c r="Z56" s="1">
        <f t="shared" si="14"/>
      </c>
      <c r="AA56" s="1">
        <f t="shared" si="15"/>
      </c>
      <c r="AB56" s="1">
        <f t="shared" si="16"/>
      </c>
      <c r="AC56" s="1">
        <f t="shared" si="17"/>
      </c>
      <c r="AD56" s="1">
        <f t="shared" si="18"/>
      </c>
      <c r="AE56" s="1">
        <f t="shared" si="19"/>
      </c>
      <c r="AF56" s="1">
        <f t="shared" si="5"/>
      </c>
      <c r="AG56" s="1">
        <f t="shared" si="6"/>
      </c>
      <c r="AH56" s="1">
        <f t="shared" si="20"/>
      </c>
      <c r="AI56" s="1">
        <f t="shared" si="21"/>
      </c>
      <c r="AJ56" s="1">
        <f t="shared" si="22"/>
      </c>
      <c r="AK56" s="1">
        <f t="shared" si="23"/>
      </c>
      <c r="AL56" s="1">
        <f t="shared" si="24"/>
      </c>
      <c r="AM56" s="1">
        <f t="shared" si="25"/>
      </c>
      <c r="AN56" s="1">
        <f t="shared" si="26"/>
      </c>
      <c r="AO56" s="1">
        <f t="shared" si="27"/>
      </c>
      <c r="AP56" s="1">
        <f t="shared" si="28"/>
      </c>
      <c r="AQ56" s="1">
        <f t="shared" si="29"/>
      </c>
      <c r="AR56" s="1">
        <f t="shared" si="7"/>
      </c>
      <c r="AS56" s="1">
        <f t="shared" si="8"/>
      </c>
      <c r="AT56" s="1">
        <f t="shared" si="30"/>
      </c>
      <c r="AU56" s="1">
        <f t="shared" si="31"/>
      </c>
      <c r="AV56" s="1">
        <f t="shared" si="32"/>
      </c>
      <c r="AW56" s="1">
        <f t="shared" si="33"/>
      </c>
      <c r="AX56" s="1">
        <f t="shared" si="34"/>
      </c>
      <c r="AY56" s="1">
        <f t="shared" si="35"/>
      </c>
      <c r="AZ56" s="1">
        <f t="shared" si="36"/>
      </c>
      <c r="BA56" s="1">
        <f t="shared" si="37"/>
      </c>
      <c r="BB56" s="1">
        <f t="shared" si="38"/>
      </c>
      <c r="BC56" s="1">
        <f t="shared" si="39"/>
      </c>
    </row>
    <row r="57" spans="8:55" ht="11.25">
      <c r="H57" s="1">
        <f t="shared" si="1"/>
      </c>
      <c r="I57" s="1">
        <f t="shared" si="2"/>
      </c>
      <c r="J57" s="1">
        <f t="shared" si="40"/>
      </c>
      <c r="K57" s="1">
        <f t="shared" si="41"/>
      </c>
      <c r="L57" s="1">
        <f t="shared" si="42"/>
      </c>
      <c r="M57" s="1">
        <f t="shared" si="43"/>
      </c>
      <c r="N57" s="1">
        <f t="shared" si="44"/>
      </c>
      <c r="O57" s="1">
        <f t="shared" si="45"/>
      </c>
      <c r="P57" s="1">
        <f t="shared" si="46"/>
      </c>
      <c r="Q57" s="1">
        <f t="shared" si="47"/>
      </c>
      <c r="R57" s="1">
        <f t="shared" si="48"/>
      </c>
      <c r="S57" s="1">
        <f t="shared" si="49"/>
      </c>
      <c r="T57" s="1">
        <f t="shared" si="3"/>
      </c>
      <c r="U57" s="1">
        <f t="shared" si="4"/>
      </c>
      <c r="V57" s="1">
        <f t="shared" si="10"/>
      </c>
      <c r="W57" s="1">
        <f t="shared" si="11"/>
      </c>
      <c r="X57" s="1">
        <f t="shared" si="12"/>
      </c>
      <c r="Y57" s="1">
        <f t="shared" si="13"/>
      </c>
      <c r="Z57" s="1">
        <f t="shared" si="14"/>
      </c>
      <c r="AA57" s="1">
        <f t="shared" si="15"/>
      </c>
      <c r="AB57" s="1">
        <f t="shared" si="16"/>
      </c>
      <c r="AC57" s="1">
        <f t="shared" si="17"/>
      </c>
      <c r="AD57" s="1">
        <f t="shared" si="18"/>
      </c>
      <c r="AE57" s="1">
        <f t="shared" si="19"/>
      </c>
      <c r="AF57" s="1">
        <f t="shared" si="5"/>
      </c>
      <c r="AG57" s="1">
        <f t="shared" si="6"/>
      </c>
      <c r="AH57" s="1">
        <f t="shared" si="20"/>
      </c>
      <c r="AI57" s="1">
        <f t="shared" si="21"/>
      </c>
      <c r="AJ57" s="1">
        <f t="shared" si="22"/>
      </c>
      <c r="AK57" s="1">
        <f t="shared" si="23"/>
      </c>
      <c r="AL57" s="1">
        <f t="shared" si="24"/>
      </c>
      <c r="AM57" s="1">
        <f t="shared" si="25"/>
      </c>
      <c r="AN57" s="1">
        <f t="shared" si="26"/>
      </c>
      <c r="AO57" s="1">
        <f t="shared" si="27"/>
      </c>
      <c r="AP57" s="1">
        <f t="shared" si="28"/>
      </c>
      <c r="AQ57" s="1">
        <f t="shared" si="29"/>
      </c>
      <c r="AR57" s="1">
        <f t="shared" si="7"/>
      </c>
      <c r="AS57" s="1">
        <f t="shared" si="8"/>
      </c>
      <c r="AT57" s="1">
        <f t="shared" si="30"/>
      </c>
      <c r="AU57" s="1">
        <f t="shared" si="31"/>
      </c>
      <c r="AV57" s="1">
        <f t="shared" si="32"/>
      </c>
      <c r="AW57" s="1">
        <f t="shared" si="33"/>
      </c>
      <c r="AX57" s="1">
        <f t="shared" si="34"/>
      </c>
      <c r="AY57" s="1">
        <f t="shared" si="35"/>
      </c>
      <c r="AZ57" s="1">
        <f t="shared" si="36"/>
      </c>
      <c r="BA57" s="1">
        <f t="shared" si="37"/>
      </c>
      <c r="BB57" s="1">
        <f t="shared" si="38"/>
      </c>
      <c r="BC57" s="1">
        <f t="shared" si="39"/>
      </c>
    </row>
    <row r="58" spans="8:55" ht="11.25">
      <c r="H58" s="1">
        <f t="shared" si="1"/>
      </c>
      <c r="I58" s="1">
        <f t="shared" si="2"/>
      </c>
      <c r="J58" s="1">
        <f t="shared" si="40"/>
      </c>
      <c r="K58" s="1">
        <f t="shared" si="41"/>
      </c>
      <c r="L58" s="1">
        <f t="shared" si="42"/>
      </c>
      <c r="M58" s="1">
        <f t="shared" si="43"/>
      </c>
      <c r="N58" s="1">
        <f t="shared" si="44"/>
      </c>
      <c r="O58" s="1">
        <f t="shared" si="45"/>
      </c>
      <c r="P58" s="1">
        <f t="shared" si="46"/>
      </c>
      <c r="Q58" s="1">
        <f t="shared" si="47"/>
      </c>
      <c r="R58" s="1">
        <f t="shared" si="48"/>
      </c>
      <c r="S58" s="1">
        <f t="shared" si="49"/>
      </c>
      <c r="T58" s="1">
        <f t="shared" si="3"/>
      </c>
      <c r="U58" s="1">
        <f t="shared" si="4"/>
      </c>
      <c r="V58" s="1">
        <f t="shared" si="10"/>
      </c>
      <c r="W58" s="1">
        <f t="shared" si="11"/>
      </c>
      <c r="X58" s="1">
        <f t="shared" si="12"/>
      </c>
      <c r="Y58" s="1">
        <f t="shared" si="13"/>
      </c>
      <c r="Z58" s="1">
        <f t="shared" si="14"/>
      </c>
      <c r="AA58" s="1">
        <f t="shared" si="15"/>
      </c>
      <c r="AB58" s="1">
        <f t="shared" si="16"/>
      </c>
      <c r="AC58" s="1">
        <f t="shared" si="17"/>
      </c>
      <c r="AD58" s="1">
        <f t="shared" si="18"/>
      </c>
      <c r="AE58" s="1">
        <f t="shared" si="19"/>
      </c>
      <c r="AF58" s="1">
        <f t="shared" si="5"/>
      </c>
      <c r="AG58" s="1">
        <f t="shared" si="6"/>
      </c>
      <c r="AH58" s="1">
        <f t="shared" si="20"/>
      </c>
      <c r="AI58" s="1">
        <f t="shared" si="21"/>
      </c>
      <c r="AJ58" s="1">
        <f t="shared" si="22"/>
      </c>
      <c r="AK58" s="1">
        <f t="shared" si="23"/>
      </c>
      <c r="AL58" s="1">
        <f t="shared" si="24"/>
      </c>
      <c r="AM58" s="1">
        <f t="shared" si="25"/>
      </c>
      <c r="AN58" s="1">
        <f t="shared" si="26"/>
      </c>
      <c r="AO58" s="1">
        <f t="shared" si="27"/>
      </c>
      <c r="AP58" s="1">
        <f t="shared" si="28"/>
      </c>
      <c r="AQ58" s="1">
        <f t="shared" si="29"/>
      </c>
      <c r="AR58" s="1">
        <f t="shared" si="7"/>
      </c>
      <c r="AS58" s="1">
        <f t="shared" si="8"/>
      </c>
      <c r="AT58" s="1">
        <f t="shared" si="30"/>
      </c>
      <c r="AU58" s="1">
        <f t="shared" si="31"/>
      </c>
      <c r="AV58" s="1">
        <f t="shared" si="32"/>
      </c>
      <c r="AW58" s="1">
        <f t="shared" si="33"/>
      </c>
      <c r="AX58" s="1">
        <f t="shared" si="34"/>
      </c>
      <c r="AY58" s="1">
        <f t="shared" si="35"/>
      </c>
      <c r="AZ58" s="1">
        <f t="shared" si="36"/>
      </c>
      <c r="BA58" s="1">
        <f t="shared" si="37"/>
      </c>
      <c r="BB58" s="1">
        <f t="shared" si="38"/>
      </c>
      <c r="BC58" s="1">
        <f t="shared" si="39"/>
      </c>
    </row>
    <row r="59" spans="8:55" ht="11.25">
      <c r="H59" s="1">
        <f t="shared" si="1"/>
      </c>
      <c r="I59" s="1">
        <f t="shared" si="2"/>
      </c>
      <c r="J59" s="1">
        <f t="shared" si="40"/>
      </c>
      <c r="K59" s="1">
        <f t="shared" si="41"/>
      </c>
      <c r="L59" s="1">
        <f t="shared" si="42"/>
      </c>
      <c r="M59" s="1">
        <f t="shared" si="43"/>
      </c>
      <c r="N59" s="1">
        <f t="shared" si="44"/>
      </c>
      <c r="O59" s="1">
        <f t="shared" si="45"/>
      </c>
      <c r="P59" s="1">
        <f t="shared" si="46"/>
      </c>
      <c r="Q59" s="1">
        <f t="shared" si="47"/>
      </c>
      <c r="R59" s="1">
        <f t="shared" si="48"/>
      </c>
      <c r="S59" s="1">
        <f t="shared" si="49"/>
      </c>
      <c r="T59" s="1">
        <f t="shared" si="3"/>
      </c>
      <c r="U59" s="1">
        <f t="shared" si="4"/>
      </c>
      <c r="V59" s="1">
        <f t="shared" si="10"/>
      </c>
      <c r="W59" s="1">
        <f t="shared" si="11"/>
      </c>
      <c r="X59" s="1">
        <f t="shared" si="12"/>
      </c>
      <c r="Y59" s="1">
        <f t="shared" si="13"/>
      </c>
      <c r="Z59" s="1">
        <f t="shared" si="14"/>
      </c>
      <c r="AA59" s="1">
        <f t="shared" si="15"/>
      </c>
      <c r="AB59" s="1">
        <f t="shared" si="16"/>
      </c>
      <c r="AC59" s="1">
        <f t="shared" si="17"/>
      </c>
      <c r="AD59" s="1">
        <f t="shared" si="18"/>
      </c>
      <c r="AE59" s="1">
        <f t="shared" si="19"/>
      </c>
      <c r="AF59" s="1">
        <f t="shared" si="5"/>
      </c>
      <c r="AG59" s="1">
        <f t="shared" si="6"/>
      </c>
      <c r="AH59" s="1">
        <f t="shared" si="20"/>
      </c>
      <c r="AI59" s="1">
        <f t="shared" si="21"/>
      </c>
      <c r="AJ59" s="1">
        <f t="shared" si="22"/>
      </c>
      <c r="AK59" s="1">
        <f t="shared" si="23"/>
      </c>
      <c r="AL59" s="1">
        <f t="shared" si="24"/>
      </c>
      <c r="AM59" s="1">
        <f t="shared" si="25"/>
      </c>
      <c r="AN59" s="1">
        <f t="shared" si="26"/>
      </c>
      <c r="AO59" s="1">
        <f t="shared" si="27"/>
      </c>
      <c r="AP59" s="1">
        <f t="shared" si="28"/>
      </c>
      <c r="AQ59" s="1">
        <f t="shared" si="29"/>
      </c>
      <c r="AR59" s="1">
        <f t="shared" si="7"/>
      </c>
      <c r="AS59" s="1">
        <f t="shared" si="8"/>
      </c>
      <c r="AT59" s="1">
        <f t="shared" si="30"/>
      </c>
      <c r="AU59" s="1">
        <f t="shared" si="31"/>
      </c>
      <c r="AV59" s="1">
        <f t="shared" si="32"/>
      </c>
      <c r="AW59" s="1">
        <f t="shared" si="33"/>
      </c>
      <c r="AX59" s="1">
        <f t="shared" si="34"/>
      </c>
      <c r="AY59" s="1">
        <f t="shared" si="35"/>
      </c>
      <c r="AZ59" s="1">
        <f t="shared" si="36"/>
      </c>
      <c r="BA59" s="1">
        <f t="shared" si="37"/>
      </c>
      <c r="BB59" s="1">
        <f t="shared" si="38"/>
      </c>
      <c r="BC59" s="1">
        <f t="shared" si="39"/>
      </c>
    </row>
    <row r="60" spans="8:55" ht="11.25">
      <c r="H60" s="1">
        <f t="shared" si="1"/>
      </c>
      <c r="I60" s="1">
        <f t="shared" si="2"/>
      </c>
      <c r="J60" s="1">
        <f t="shared" si="40"/>
      </c>
      <c r="K60" s="1">
        <f t="shared" si="41"/>
      </c>
      <c r="L60" s="1">
        <f t="shared" si="42"/>
      </c>
      <c r="M60" s="1">
        <f t="shared" si="43"/>
      </c>
      <c r="N60" s="1">
        <f t="shared" si="44"/>
      </c>
      <c r="O60" s="1">
        <f t="shared" si="45"/>
      </c>
      <c r="P60" s="1">
        <f t="shared" si="46"/>
      </c>
      <c r="Q60" s="1">
        <f t="shared" si="47"/>
      </c>
      <c r="R60" s="1">
        <f t="shared" si="48"/>
      </c>
      <c r="S60" s="1">
        <f t="shared" si="49"/>
      </c>
      <c r="T60" s="1">
        <f t="shared" si="3"/>
      </c>
      <c r="U60" s="1">
        <f t="shared" si="4"/>
      </c>
      <c r="V60" s="1">
        <f t="shared" si="10"/>
      </c>
      <c r="W60" s="1">
        <f t="shared" si="11"/>
      </c>
      <c r="X60" s="1">
        <f t="shared" si="12"/>
      </c>
      <c r="Y60" s="1">
        <f t="shared" si="13"/>
      </c>
      <c r="Z60" s="1">
        <f t="shared" si="14"/>
      </c>
      <c r="AA60" s="1">
        <f t="shared" si="15"/>
      </c>
      <c r="AB60" s="1">
        <f t="shared" si="16"/>
      </c>
      <c r="AC60" s="1">
        <f t="shared" si="17"/>
      </c>
      <c r="AD60" s="1">
        <f t="shared" si="18"/>
      </c>
      <c r="AE60" s="1">
        <f t="shared" si="19"/>
      </c>
      <c r="AF60" s="1">
        <f t="shared" si="5"/>
      </c>
      <c r="AG60" s="1">
        <f t="shared" si="6"/>
      </c>
      <c r="AH60" s="1">
        <f t="shared" si="20"/>
      </c>
      <c r="AI60" s="1">
        <f t="shared" si="21"/>
      </c>
      <c r="AJ60" s="1">
        <f t="shared" si="22"/>
      </c>
      <c r="AK60" s="1">
        <f t="shared" si="23"/>
      </c>
      <c r="AL60" s="1">
        <f t="shared" si="24"/>
      </c>
      <c r="AM60" s="1">
        <f t="shared" si="25"/>
      </c>
      <c r="AN60" s="1">
        <f t="shared" si="26"/>
      </c>
      <c r="AO60" s="1">
        <f t="shared" si="27"/>
      </c>
      <c r="AP60" s="1">
        <f t="shared" si="28"/>
      </c>
      <c r="AQ60" s="1">
        <f t="shared" si="29"/>
      </c>
      <c r="AR60" s="1">
        <f t="shared" si="7"/>
      </c>
      <c r="AS60" s="1">
        <f t="shared" si="8"/>
      </c>
      <c r="AT60" s="1">
        <f t="shared" si="30"/>
      </c>
      <c r="AU60" s="1">
        <f t="shared" si="31"/>
      </c>
      <c r="AV60" s="1">
        <f t="shared" si="32"/>
      </c>
      <c r="AW60" s="1">
        <f t="shared" si="33"/>
      </c>
      <c r="AX60" s="1">
        <f t="shared" si="34"/>
      </c>
      <c r="AY60" s="1">
        <f t="shared" si="35"/>
      </c>
      <c r="AZ60" s="1">
        <f t="shared" si="36"/>
      </c>
      <c r="BA60" s="1">
        <f t="shared" si="37"/>
      </c>
      <c r="BB60" s="1">
        <f t="shared" si="38"/>
      </c>
      <c r="BC60" s="1">
        <f t="shared" si="39"/>
      </c>
    </row>
    <row r="61" spans="8:55" ht="11.25">
      <c r="H61" s="1">
        <f t="shared" si="1"/>
      </c>
      <c r="I61" s="1">
        <f t="shared" si="2"/>
      </c>
      <c r="J61" s="1">
        <f t="shared" si="40"/>
      </c>
      <c r="K61" s="1">
        <f t="shared" si="41"/>
      </c>
      <c r="L61" s="1">
        <f t="shared" si="42"/>
      </c>
      <c r="M61" s="1">
        <f t="shared" si="43"/>
      </c>
      <c r="N61" s="1">
        <f t="shared" si="44"/>
      </c>
      <c r="O61" s="1">
        <f t="shared" si="45"/>
      </c>
      <c r="P61" s="1">
        <f t="shared" si="46"/>
      </c>
      <c r="Q61" s="1">
        <f t="shared" si="47"/>
      </c>
      <c r="R61" s="1">
        <f t="shared" si="48"/>
      </c>
      <c r="S61" s="1">
        <f t="shared" si="49"/>
      </c>
      <c r="T61" s="1">
        <f t="shared" si="3"/>
      </c>
      <c r="U61" s="1">
        <f t="shared" si="4"/>
      </c>
      <c r="V61" s="1">
        <f t="shared" si="10"/>
      </c>
      <c r="W61" s="1">
        <f t="shared" si="11"/>
      </c>
      <c r="X61" s="1">
        <f t="shared" si="12"/>
      </c>
      <c r="Y61" s="1">
        <f t="shared" si="13"/>
      </c>
      <c r="Z61" s="1">
        <f t="shared" si="14"/>
      </c>
      <c r="AA61" s="1">
        <f t="shared" si="15"/>
      </c>
      <c r="AB61" s="1">
        <f t="shared" si="16"/>
      </c>
      <c r="AC61" s="1">
        <f t="shared" si="17"/>
      </c>
      <c r="AD61" s="1">
        <f t="shared" si="18"/>
      </c>
      <c r="AE61" s="1">
        <f t="shared" si="19"/>
      </c>
      <c r="AF61" s="1">
        <f t="shared" si="5"/>
      </c>
      <c r="AG61" s="1">
        <f t="shared" si="6"/>
      </c>
      <c r="AH61" s="1">
        <f t="shared" si="20"/>
      </c>
      <c r="AI61" s="1">
        <f t="shared" si="21"/>
      </c>
      <c r="AJ61" s="1">
        <f t="shared" si="22"/>
      </c>
      <c r="AK61" s="1">
        <f t="shared" si="23"/>
      </c>
      <c r="AL61" s="1">
        <f t="shared" si="24"/>
      </c>
      <c r="AM61" s="1">
        <f t="shared" si="25"/>
      </c>
      <c r="AN61" s="1">
        <f t="shared" si="26"/>
      </c>
      <c r="AO61" s="1">
        <f t="shared" si="27"/>
      </c>
      <c r="AP61" s="1">
        <f t="shared" si="28"/>
      </c>
      <c r="AQ61" s="1">
        <f t="shared" si="29"/>
      </c>
      <c r="AR61" s="1">
        <f t="shared" si="7"/>
      </c>
      <c r="AS61" s="1">
        <f t="shared" si="8"/>
      </c>
      <c r="AT61" s="1">
        <f t="shared" si="30"/>
      </c>
      <c r="AU61" s="1">
        <f t="shared" si="31"/>
      </c>
      <c r="AV61" s="1">
        <f t="shared" si="32"/>
      </c>
      <c r="AW61" s="1">
        <f t="shared" si="33"/>
      </c>
      <c r="AX61" s="1">
        <f t="shared" si="34"/>
      </c>
      <c r="AY61" s="1">
        <f t="shared" si="35"/>
      </c>
      <c r="AZ61" s="1">
        <f t="shared" si="36"/>
      </c>
      <c r="BA61" s="1">
        <f t="shared" si="37"/>
      </c>
      <c r="BB61" s="1">
        <f t="shared" si="38"/>
      </c>
      <c r="BC61" s="1">
        <f t="shared" si="39"/>
      </c>
    </row>
    <row r="62" spans="8:55" ht="11.25">
      <c r="H62" s="1">
        <f t="shared" si="1"/>
      </c>
      <c r="I62" s="1">
        <f t="shared" si="2"/>
      </c>
      <c r="J62" s="1">
        <f t="shared" si="40"/>
      </c>
      <c r="K62" s="1">
        <f t="shared" si="41"/>
      </c>
      <c r="L62" s="1">
        <f t="shared" si="42"/>
      </c>
      <c r="M62" s="1">
        <f t="shared" si="43"/>
      </c>
      <c r="N62" s="1">
        <f t="shared" si="44"/>
      </c>
      <c r="O62" s="1">
        <f t="shared" si="45"/>
      </c>
      <c r="P62" s="1">
        <f t="shared" si="46"/>
      </c>
      <c r="Q62" s="1">
        <f t="shared" si="47"/>
      </c>
      <c r="R62" s="1">
        <f t="shared" si="48"/>
      </c>
      <c r="S62" s="1">
        <f t="shared" si="49"/>
      </c>
      <c r="T62" s="1">
        <f t="shared" si="3"/>
      </c>
      <c r="U62" s="1">
        <f t="shared" si="4"/>
      </c>
      <c r="V62" s="1">
        <f t="shared" si="10"/>
      </c>
      <c r="W62" s="1">
        <f t="shared" si="11"/>
      </c>
      <c r="X62" s="1">
        <f t="shared" si="12"/>
      </c>
      <c r="Y62" s="1">
        <f t="shared" si="13"/>
      </c>
      <c r="Z62" s="1">
        <f t="shared" si="14"/>
      </c>
      <c r="AA62" s="1">
        <f t="shared" si="15"/>
      </c>
      <c r="AB62" s="1">
        <f t="shared" si="16"/>
      </c>
      <c r="AC62" s="1">
        <f t="shared" si="17"/>
      </c>
      <c r="AD62" s="1">
        <f t="shared" si="18"/>
      </c>
      <c r="AE62" s="1">
        <f t="shared" si="19"/>
      </c>
      <c r="AF62" s="1">
        <f t="shared" si="5"/>
      </c>
      <c r="AG62" s="1">
        <f t="shared" si="6"/>
      </c>
      <c r="AH62" s="1">
        <f t="shared" si="20"/>
      </c>
      <c r="AI62" s="1">
        <f t="shared" si="21"/>
      </c>
      <c r="AJ62" s="1">
        <f t="shared" si="22"/>
      </c>
      <c r="AK62" s="1">
        <f t="shared" si="23"/>
      </c>
      <c r="AL62" s="1">
        <f t="shared" si="24"/>
      </c>
      <c r="AM62" s="1">
        <f t="shared" si="25"/>
      </c>
      <c r="AN62" s="1">
        <f t="shared" si="26"/>
      </c>
      <c r="AO62" s="1">
        <f t="shared" si="27"/>
      </c>
      <c r="AP62" s="1">
        <f t="shared" si="28"/>
      </c>
      <c r="AQ62" s="1">
        <f t="shared" si="29"/>
      </c>
      <c r="AR62" s="1">
        <f t="shared" si="7"/>
      </c>
      <c r="AS62" s="1">
        <f t="shared" si="8"/>
      </c>
      <c r="AT62" s="1">
        <f t="shared" si="30"/>
      </c>
      <c r="AU62" s="1">
        <f t="shared" si="31"/>
      </c>
      <c r="AV62" s="1">
        <f t="shared" si="32"/>
      </c>
      <c r="AW62" s="1">
        <f t="shared" si="33"/>
      </c>
      <c r="AX62" s="1">
        <f t="shared" si="34"/>
      </c>
      <c r="AY62" s="1">
        <f t="shared" si="35"/>
      </c>
      <c r="AZ62" s="1">
        <f t="shared" si="36"/>
      </c>
      <c r="BA62" s="1">
        <f t="shared" si="37"/>
      </c>
      <c r="BB62" s="1">
        <f t="shared" si="38"/>
      </c>
      <c r="BC62" s="1">
        <f t="shared" si="39"/>
      </c>
    </row>
    <row r="63" spans="8:55" ht="11.25">
      <c r="H63" s="1">
        <f t="shared" si="1"/>
      </c>
      <c r="I63" s="1">
        <f t="shared" si="2"/>
      </c>
      <c r="J63" s="1">
        <f t="shared" si="40"/>
      </c>
      <c r="K63" s="1">
        <f t="shared" si="41"/>
      </c>
      <c r="L63" s="1">
        <f t="shared" si="42"/>
      </c>
      <c r="M63" s="1">
        <f t="shared" si="43"/>
      </c>
      <c r="N63" s="1">
        <f t="shared" si="44"/>
      </c>
      <c r="O63" s="1">
        <f t="shared" si="45"/>
      </c>
      <c r="P63" s="1">
        <f t="shared" si="46"/>
      </c>
      <c r="Q63" s="1">
        <f t="shared" si="47"/>
      </c>
      <c r="R63" s="1">
        <f t="shared" si="48"/>
      </c>
      <c r="S63" s="1">
        <f t="shared" si="49"/>
      </c>
      <c r="T63" s="1">
        <f t="shared" si="3"/>
      </c>
      <c r="U63" s="1">
        <f t="shared" si="4"/>
      </c>
      <c r="V63" s="1">
        <f t="shared" si="10"/>
      </c>
      <c r="W63" s="1">
        <f t="shared" si="11"/>
      </c>
      <c r="X63" s="1">
        <f t="shared" si="12"/>
      </c>
      <c r="Y63" s="1">
        <f t="shared" si="13"/>
      </c>
      <c r="Z63" s="1">
        <f t="shared" si="14"/>
      </c>
      <c r="AA63" s="1">
        <f t="shared" si="15"/>
      </c>
      <c r="AB63" s="1">
        <f t="shared" si="16"/>
      </c>
      <c r="AC63" s="1">
        <f t="shared" si="17"/>
      </c>
      <c r="AD63" s="1">
        <f t="shared" si="18"/>
      </c>
      <c r="AE63" s="1">
        <f t="shared" si="19"/>
      </c>
      <c r="AF63" s="1">
        <f t="shared" si="5"/>
      </c>
      <c r="AG63" s="1">
        <f t="shared" si="6"/>
      </c>
      <c r="AH63" s="1">
        <f t="shared" si="20"/>
      </c>
      <c r="AI63" s="1">
        <f t="shared" si="21"/>
      </c>
      <c r="AJ63" s="1">
        <f t="shared" si="22"/>
      </c>
      <c r="AK63" s="1">
        <f t="shared" si="23"/>
      </c>
      <c r="AL63" s="1">
        <f t="shared" si="24"/>
      </c>
      <c r="AM63" s="1">
        <f t="shared" si="25"/>
      </c>
      <c r="AN63" s="1">
        <f t="shared" si="26"/>
      </c>
      <c r="AO63" s="1">
        <f t="shared" si="27"/>
      </c>
      <c r="AP63" s="1">
        <f t="shared" si="28"/>
      </c>
      <c r="AQ63" s="1">
        <f t="shared" si="29"/>
      </c>
      <c r="AR63" s="1">
        <f t="shared" si="7"/>
      </c>
      <c r="AS63" s="1">
        <f t="shared" si="8"/>
      </c>
      <c r="AT63" s="1">
        <f t="shared" si="30"/>
      </c>
      <c r="AU63" s="1">
        <f t="shared" si="31"/>
      </c>
      <c r="AV63" s="1">
        <f t="shared" si="32"/>
      </c>
      <c r="AW63" s="1">
        <f t="shared" si="33"/>
      </c>
      <c r="AX63" s="1">
        <f t="shared" si="34"/>
      </c>
      <c r="AY63" s="1">
        <f t="shared" si="35"/>
      </c>
      <c r="AZ63" s="1">
        <f t="shared" si="36"/>
      </c>
      <c r="BA63" s="1">
        <f t="shared" si="37"/>
      </c>
      <c r="BB63" s="1">
        <f t="shared" si="38"/>
      </c>
      <c r="BC63" s="1">
        <f t="shared" si="39"/>
      </c>
    </row>
    <row r="64" spans="8:55" ht="11.25">
      <c r="H64" s="1">
        <f t="shared" si="1"/>
      </c>
      <c r="I64" s="1">
        <f t="shared" si="2"/>
      </c>
      <c r="J64" s="1">
        <f t="shared" si="40"/>
      </c>
      <c r="K64" s="1">
        <f t="shared" si="41"/>
      </c>
      <c r="L64" s="1">
        <f t="shared" si="42"/>
      </c>
      <c r="M64" s="1">
        <f t="shared" si="43"/>
      </c>
      <c r="N64" s="1">
        <f t="shared" si="44"/>
      </c>
      <c r="O64" s="1">
        <f t="shared" si="45"/>
      </c>
      <c r="P64" s="1">
        <f t="shared" si="46"/>
      </c>
      <c r="Q64" s="1">
        <f t="shared" si="47"/>
      </c>
      <c r="R64" s="1">
        <f t="shared" si="48"/>
      </c>
      <c r="S64" s="1">
        <f t="shared" si="49"/>
      </c>
      <c r="T64" s="1">
        <f t="shared" si="3"/>
      </c>
      <c r="U64" s="1">
        <f t="shared" si="4"/>
      </c>
      <c r="V64" s="1">
        <f t="shared" si="10"/>
      </c>
      <c r="W64" s="1">
        <f t="shared" si="11"/>
      </c>
      <c r="X64" s="1">
        <f t="shared" si="12"/>
      </c>
      <c r="Y64" s="1">
        <f t="shared" si="13"/>
      </c>
      <c r="Z64" s="1">
        <f t="shared" si="14"/>
      </c>
      <c r="AA64" s="1">
        <f t="shared" si="15"/>
      </c>
      <c r="AB64" s="1">
        <f t="shared" si="16"/>
      </c>
      <c r="AC64" s="1">
        <f t="shared" si="17"/>
      </c>
      <c r="AD64" s="1">
        <f t="shared" si="18"/>
      </c>
      <c r="AE64" s="1">
        <f t="shared" si="19"/>
      </c>
      <c r="AF64" s="1">
        <f t="shared" si="5"/>
      </c>
      <c r="AG64" s="1">
        <f t="shared" si="6"/>
      </c>
      <c r="AH64" s="1">
        <f t="shared" si="20"/>
      </c>
      <c r="AI64" s="1">
        <f t="shared" si="21"/>
      </c>
      <c r="AJ64" s="1">
        <f t="shared" si="22"/>
      </c>
      <c r="AK64" s="1">
        <f t="shared" si="23"/>
      </c>
      <c r="AL64" s="1">
        <f t="shared" si="24"/>
      </c>
      <c r="AM64" s="1">
        <f t="shared" si="25"/>
      </c>
      <c r="AN64" s="1">
        <f t="shared" si="26"/>
      </c>
      <c r="AO64" s="1">
        <f t="shared" si="27"/>
      </c>
      <c r="AP64" s="1">
        <f t="shared" si="28"/>
      </c>
      <c r="AQ64" s="1">
        <f t="shared" si="29"/>
      </c>
      <c r="AR64" s="1">
        <f t="shared" si="7"/>
      </c>
      <c r="AS64" s="1">
        <f t="shared" si="8"/>
      </c>
      <c r="AT64" s="1">
        <f t="shared" si="30"/>
      </c>
      <c r="AU64" s="1">
        <f t="shared" si="31"/>
      </c>
      <c r="AV64" s="1">
        <f t="shared" si="32"/>
      </c>
      <c r="AW64" s="1">
        <f t="shared" si="33"/>
      </c>
      <c r="AX64" s="1">
        <f t="shared" si="34"/>
      </c>
      <c r="AY64" s="1">
        <f t="shared" si="35"/>
      </c>
      <c r="AZ64" s="1">
        <f t="shared" si="36"/>
      </c>
      <c r="BA64" s="1">
        <f t="shared" si="37"/>
      </c>
      <c r="BB64" s="1">
        <f t="shared" si="38"/>
      </c>
      <c r="BC64" s="1">
        <f t="shared" si="39"/>
      </c>
    </row>
    <row r="65" spans="8:55" ht="11.25">
      <c r="H65" s="5">
        <f t="shared" si="1"/>
      </c>
      <c r="I65" s="5">
        <f t="shared" si="2"/>
      </c>
      <c r="J65" s="5">
        <f t="shared" si="40"/>
      </c>
      <c r="K65" s="5">
        <f t="shared" si="41"/>
      </c>
      <c r="L65" s="5">
        <f t="shared" si="42"/>
      </c>
      <c r="M65" s="5">
        <f t="shared" si="43"/>
      </c>
      <c r="N65" s="5">
        <f t="shared" si="44"/>
      </c>
      <c r="O65" s="5">
        <f t="shared" si="45"/>
      </c>
      <c r="P65" s="5">
        <f t="shared" si="46"/>
      </c>
      <c r="Q65" s="5">
        <f t="shared" si="47"/>
      </c>
      <c r="R65" s="5">
        <f t="shared" si="48"/>
      </c>
      <c r="S65" s="5">
        <f t="shared" si="49"/>
      </c>
      <c r="T65" s="5">
        <f t="shared" si="3"/>
      </c>
      <c r="U65" s="5">
        <f t="shared" si="4"/>
      </c>
      <c r="V65" s="5">
        <f t="shared" si="10"/>
      </c>
      <c r="W65" s="5">
        <f t="shared" si="11"/>
      </c>
      <c r="X65" s="5">
        <f t="shared" si="12"/>
      </c>
      <c r="Y65" s="5">
        <f t="shared" si="13"/>
      </c>
      <c r="Z65" s="5">
        <f t="shared" si="14"/>
      </c>
      <c r="AA65" s="5">
        <f t="shared" si="15"/>
      </c>
      <c r="AB65" s="5">
        <f t="shared" si="16"/>
      </c>
      <c r="AC65" s="5">
        <f t="shared" si="17"/>
      </c>
      <c r="AD65" s="5">
        <f t="shared" si="18"/>
      </c>
      <c r="AE65" s="5">
        <f t="shared" si="19"/>
      </c>
      <c r="AF65" s="5">
        <f t="shared" si="5"/>
      </c>
      <c r="AG65" s="5">
        <f t="shared" si="6"/>
      </c>
      <c r="AH65" s="5">
        <f t="shared" si="20"/>
      </c>
      <c r="AI65" s="5">
        <f t="shared" si="21"/>
      </c>
      <c r="AJ65" s="5">
        <f t="shared" si="22"/>
      </c>
      <c r="AK65" s="5">
        <f t="shared" si="23"/>
      </c>
      <c r="AL65" s="5">
        <f t="shared" si="24"/>
      </c>
      <c r="AM65" s="5">
        <f t="shared" si="25"/>
      </c>
      <c r="AN65" s="5">
        <f t="shared" si="26"/>
      </c>
      <c r="AO65" s="5">
        <f t="shared" si="27"/>
      </c>
      <c r="AP65" s="5">
        <f t="shared" si="28"/>
      </c>
      <c r="AQ65" s="5">
        <f t="shared" si="29"/>
      </c>
      <c r="AR65" s="5">
        <f t="shared" si="7"/>
      </c>
      <c r="AS65" s="5">
        <f t="shared" si="8"/>
      </c>
      <c r="AT65" s="5">
        <f t="shared" si="30"/>
      </c>
      <c r="AU65" s="5">
        <f t="shared" si="31"/>
      </c>
      <c r="AV65" s="5">
        <f t="shared" si="32"/>
      </c>
      <c r="AW65" s="5">
        <f t="shared" si="33"/>
      </c>
      <c r="AX65" s="5">
        <f t="shared" si="34"/>
      </c>
      <c r="AY65" s="5">
        <f t="shared" si="35"/>
      </c>
      <c r="AZ65" s="5">
        <f t="shared" si="36"/>
      </c>
      <c r="BA65" s="5">
        <f t="shared" si="37"/>
      </c>
      <c r="BB65" s="5">
        <f t="shared" si="38"/>
      </c>
      <c r="BC65" s="5">
        <f t="shared" si="39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IU-Sociology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Logit Post Estimation</dc:title>
  <dc:subject/>
  <dc:creator>J. Scott Long and Simon Cheng</dc:creator>
  <cp:keywords/>
  <dc:description/>
  <cp:lastModifiedBy>Simon Cheng</cp:lastModifiedBy>
  <cp:lastPrinted>1999-09-06T06:54:00Z</cp:lastPrinted>
  <dcterms:created xsi:type="dcterms:W3CDTF">1999-06-12T19:41:52Z</dcterms:created>
  <dcterms:modified xsi:type="dcterms:W3CDTF">2002-07-29T06:09:15Z</dcterms:modified>
  <cp:category/>
  <cp:version/>
  <cp:contentType/>
  <cp:contentStatus/>
</cp:coreProperties>
</file>